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uedeTho\Desktop\Formulare Isotosi\"/>
    </mc:Choice>
  </mc:AlternateContent>
  <bookViews>
    <workbookView xWindow="0" yWindow="0" windowWidth="28800" windowHeight="12000"/>
  </bookViews>
  <sheets>
    <sheet name="Siding138+200+300+400" sheetId="2" r:id="rId1"/>
    <sheet name="Siding500+600" sheetId="5" r:id="rId2"/>
    <sheet name="Verschnitt" sheetId="6" r:id="rId3"/>
    <sheet name="Sprachindex" sheetId="4" state="hidden" r:id="rId4"/>
  </sheets>
  <definedNames>
    <definedName name="_xlnm._FilterDatabase" localSheetId="0" hidden="1">'Siding138+200+300+400'!#REF!</definedName>
    <definedName name="_xlnm._FilterDatabase" localSheetId="1" hidden="1">'Siding500+600'!#REF!</definedName>
    <definedName name="_xlnm.Print_Area" localSheetId="0">'Siding138+200+300+400'!$A$1:$Y$103</definedName>
    <definedName name="_xlnm.Print_Area" localSheetId="1">'Siding500+600'!$A$1:$Y$97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3" i="5" l="1"/>
  <c r="X97" i="5" l="1"/>
  <c r="V62" i="5" l="1"/>
  <c r="X58" i="5"/>
  <c r="E32" i="2"/>
  <c r="W97" i="5" l="1"/>
  <c r="A97" i="5"/>
  <c r="C92" i="5"/>
  <c r="V89" i="5"/>
  <c r="V88" i="5"/>
  <c r="V87" i="5"/>
  <c r="K87" i="5"/>
  <c r="E87" i="5"/>
  <c r="V86" i="5"/>
  <c r="K86" i="5"/>
  <c r="E86" i="5"/>
  <c r="V85" i="5"/>
  <c r="K85" i="5"/>
  <c r="E85" i="5"/>
  <c r="V84" i="5"/>
  <c r="K84" i="5"/>
  <c r="E84" i="5"/>
  <c r="V83" i="5"/>
  <c r="K83" i="5"/>
  <c r="E83" i="5"/>
  <c r="V82" i="5"/>
  <c r="K82" i="5"/>
  <c r="E82" i="5"/>
  <c r="V81" i="5"/>
  <c r="K81" i="5"/>
  <c r="E81" i="5"/>
  <c r="V80" i="5"/>
  <c r="K80" i="5"/>
  <c r="E80" i="5"/>
  <c r="V79" i="5"/>
  <c r="K79" i="5"/>
  <c r="E79" i="5"/>
  <c r="V78" i="5"/>
  <c r="K78" i="5"/>
  <c r="E78" i="5"/>
  <c r="V77" i="5"/>
  <c r="K77" i="5"/>
  <c r="E77" i="5"/>
  <c r="V76" i="5"/>
  <c r="K76" i="5"/>
  <c r="E76" i="5"/>
  <c r="V75" i="5"/>
  <c r="K75" i="5"/>
  <c r="E75" i="5"/>
  <c r="V74" i="5"/>
  <c r="K74" i="5"/>
  <c r="E74" i="5"/>
  <c r="V73" i="5"/>
  <c r="K73" i="5"/>
  <c r="E73" i="5"/>
  <c r="V72" i="5"/>
  <c r="K72" i="5"/>
  <c r="E72" i="5"/>
  <c r="V71" i="5"/>
  <c r="K71" i="5"/>
  <c r="E71" i="5"/>
  <c r="V70" i="5"/>
  <c r="K70" i="5"/>
  <c r="E70" i="5"/>
  <c r="V69" i="5"/>
  <c r="K69" i="5"/>
  <c r="E69" i="5"/>
  <c r="V68" i="5"/>
  <c r="K68" i="5"/>
  <c r="E68" i="5"/>
  <c r="V67" i="5"/>
  <c r="K67" i="5"/>
  <c r="E67" i="5"/>
  <c r="V66" i="5"/>
  <c r="K66" i="5"/>
  <c r="E66" i="5"/>
  <c r="V65" i="5"/>
  <c r="K65" i="5"/>
  <c r="E65" i="5"/>
  <c r="X64" i="5"/>
  <c r="V64" i="5"/>
  <c r="K64" i="5"/>
  <c r="E64" i="5"/>
  <c r="Y63" i="5"/>
  <c r="X63" i="5"/>
  <c r="K63" i="5"/>
  <c r="E63" i="5"/>
  <c r="Y62" i="5"/>
  <c r="X62" i="5"/>
  <c r="K62" i="5"/>
  <c r="E62" i="5"/>
  <c r="V61" i="5"/>
  <c r="K61" i="5"/>
  <c r="I61" i="5"/>
  <c r="G61" i="5"/>
  <c r="E61" i="5"/>
  <c r="C61" i="5"/>
  <c r="X60" i="5"/>
  <c r="X59" i="5"/>
  <c r="W58" i="5"/>
  <c r="A58" i="5"/>
  <c r="X57" i="5"/>
  <c r="R57" i="5"/>
  <c r="J30" i="5"/>
  <c r="D30" i="5"/>
  <c r="J29" i="5"/>
  <c r="I29" i="5"/>
  <c r="H29" i="5"/>
  <c r="E29" i="5"/>
  <c r="D29" i="5"/>
  <c r="C29" i="5"/>
  <c r="B29" i="5"/>
  <c r="H28" i="5"/>
  <c r="B28" i="5"/>
  <c r="A26" i="5"/>
  <c r="U23" i="5"/>
  <c r="AC21" i="5"/>
  <c r="J21" i="5"/>
  <c r="G21" i="5"/>
  <c r="D21" i="5"/>
  <c r="J20" i="5"/>
  <c r="G20" i="5"/>
  <c r="D20" i="5"/>
  <c r="B20" i="5"/>
  <c r="R18" i="5"/>
  <c r="P18" i="5"/>
  <c r="N18" i="5"/>
  <c r="C18" i="5"/>
  <c r="J17" i="5"/>
  <c r="C17" i="5"/>
  <c r="C16" i="5"/>
  <c r="M15" i="5"/>
  <c r="L15" i="5"/>
  <c r="J15" i="5"/>
  <c r="C15" i="5"/>
  <c r="O14" i="5"/>
  <c r="M14" i="5"/>
  <c r="L14" i="5"/>
  <c r="J14" i="5"/>
  <c r="B14" i="5"/>
  <c r="L12" i="5"/>
  <c r="C12" i="5"/>
  <c r="J11" i="5"/>
  <c r="C11" i="5"/>
  <c r="R9" i="5"/>
  <c r="L9" i="5"/>
  <c r="C9" i="5"/>
  <c r="U8" i="5"/>
  <c r="J8" i="5"/>
  <c r="C8" i="5"/>
  <c r="B7" i="5"/>
  <c r="T6" i="5"/>
  <c r="T5" i="5"/>
  <c r="T4" i="5"/>
  <c r="X2" i="5"/>
  <c r="X1" i="5"/>
  <c r="AI87" i="5" l="1"/>
  <c r="I87" i="5"/>
  <c r="AI86" i="5"/>
  <c r="I86" i="5" s="1"/>
  <c r="AI72" i="5"/>
  <c r="I72" i="5"/>
  <c r="AI67" i="5"/>
  <c r="I67" i="5"/>
  <c r="AI66" i="5"/>
  <c r="I66" i="5"/>
  <c r="AI63" i="5"/>
  <c r="I63" i="5"/>
  <c r="AI62" i="5"/>
  <c r="I62" i="5" s="1"/>
  <c r="U57" i="5"/>
  <c r="B64" i="5" s="1"/>
  <c r="O57" i="5"/>
  <c r="I57" i="5"/>
  <c r="C57" i="5"/>
  <c r="K55" i="5"/>
  <c r="E55" i="5"/>
  <c r="K54" i="5"/>
  <c r="E54" i="5"/>
  <c r="K53" i="5"/>
  <c r="E53" i="5"/>
  <c r="K52" i="5"/>
  <c r="E52" i="5"/>
  <c r="K51" i="5"/>
  <c r="E51" i="5"/>
  <c r="K50" i="5"/>
  <c r="E50" i="5"/>
  <c r="K49" i="5"/>
  <c r="E49" i="5"/>
  <c r="K48" i="5"/>
  <c r="E48" i="5"/>
  <c r="K47" i="5"/>
  <c r="E47" i="5"/>
  <c r="K46" i="5"/>
  <c r="E46" i="5"/>
  <c r="K45" i="5"/>
  <c r="E45" i="5"/>
  <c r="K44" i="5"/>
  <c r="E44" i="5"/>
  <c r="K43" i="5"/>
  <c r="E43" i="5"/>
  <c r="K42" i="5"/>
  <c r="E42" i="5"/>
  <c r="K41" i="5"/>
  <c r="E41" i="5"/>
  <c r="K40" i="5"/>
  <c r="E40" i="5"/>
  <c r="K39" i="5"/>
  <c r="E39" i="5"/>
  <c r="K38" i="5"/>
  <c r="E38" i="5"/>
  <c r="K37" i="5"/>
  <c r="E37" i="5"/>
  <c r="K36" i="5"/>
  <c r="E36" i="5"/>
  <c r="K35" i="5"/>
  <c r="E35" i="5"/>
  <c r="K34" i="5"/>
  <c r="E34" i="5"/>
  <c r="K33" i="5"/>
  <c r="E33" i="5"/>
  <c r="K32" i="5"/>
  <c r="E32" i="5"/>
  <c r="K31" i="5"/>
  <c r="E31" i="5"/>
  <c r="E56" i="5" l="1"/>
  <c r="E7" i="6" s="1"/>
  <c r="K56" i="5"/>
  <c r="E8" i="6" s="1"/>
  <c r="W103" i="2"/>
  <c r="A103" i="2"/>
  <c r="C98" i="2"/>
  <c r="V95" i="2"/>
  <c r="V93" i="2"/>
  <c r="K93" i="2"/>
  <c r="E93" i="2"/>
  <c r="V92" i="2"/>
  <c r="K92" i="2"/>
  <c r="E92" i="2"/>
  <c r="V91" i="2"/>
  <c r="K91" i="2"/>
  <c r="E91" i="2"/>
  <c r="V90" i="2"/>
  <c r="K90" i="2"/>
  <c r="E90" i="2"/>
  <c r="V89" i="2"/>
  <c r="K89" i="2"/>
  <c r="E89" i="2"/>
  <c r="V88" i="2"/>
  <c r="K88" i="2"/>
  <c r="E88" i="2"/>
  <c r="V87" i="2"/>
  <c r="K87" i="2"/>
  <c r="E87" i="2"/>
  <c r="V86" i="2"/>
  <c r="K86" i="2"/>
  <c r="E86" i="2"/>
  <c r="V85" i="2"/>
  <c r="K85" i="2"/>
  <c r="E85" i="2"/>
  <c r="V84" i="2"/>
  <c r="K84" i="2"/>
  <c r="E84" i="2"/>
  <c r="V83" i="2"/>
  <c r="K83" i="2"/>
  <c r="E83" i="2"/>
  <c r="V82" i="2"/>
  <c r="K82" i="2"/>
  <c r="E82" i="2"/>
  <c r="V81" i="2"/>
  <c r="K81" i="2"/>
  <c r="E81" i="2"/>
  <c r="V80" i="2"/>
  <c r="K80" i="2"/>
  <c r="E80" i="2"/>
  <c r="V79" i="2"/>
  <c r="K79" i="2"/>
  <c r="E79" i="2"/>
  <c r="V78" i="2"/>
  <c r="K78" i="2"/>
  <c r="E78" i="2"/>
  <c r="V77" i="2"/>
  <c r="K77" i="2"/>
  <c r="E77" i="2"/>
  <c r="V76" i="2"/>
  <c r="K76" i="2"/>
  <c r="E76" i="2"/>
  <c r="V75" i="2"/>
  <c r="K75" i="2"/>
  <c r="E75" i="2"/>
  <c r="V74" i="2"/>
  <c r="K74" i="2"/>
  <c r="E74" i="2"/>
  <c r="V73" i="2"/>
  <c r="K73" i="2"/>
  <c r="E73" i="2"/>
  <c r="V72" i="2"/>
  <c r="K72" i="2"/>
  <c r="E72" i="2"/>
  <c r="V71" i="2"/>
  <c r="K71" i="2"/>
  <c r="E71" i="2"/>
  <c r="V70" i="2"/>
  <c r="K70" i="2"/>
  <c r="E70" i="2"/>
  <c r="V69" i="2"/>
  <c r="K69" i="2"/>
  <c r="E69" i="2"/>
  <c r="V68" i="2"/>
  <c r="K68" i="2"/>
  <c r="E68" i="2"/>
  <c r="V67" i="2"/>
  <c r="K67" i="2"/>
  <c r="E67" i="2"/>
  <c r="Y66" i="2"/>
  <c r="X66" i="2"/>
  <c r="K66" i="2"/>
  <c r="E66" i="2"/>
  <c r="Y65" i="2"/>
  <c r="X65" i="2"/>
  <c r="K65" i="2"/>
  <c r="E65" i="2"/>
  <c r="Y64" i="2"/>
  <c r="X64" i="2"/>
  <c r="K64" i="2"/>
  <c r="E64" i="2"/>
  <c r="Y63" i="2"/>
  <c r="X63" i="2"/>
  <c r="K63" i="2"/>
  <c r="E63" i="2"/>
  <c r="Y62" i="2"/>
  <c r="X62" i="2"/>
  <c r="K62" i="2"/>
  <c r="E62" i="2"/>
  <c r="V61" i="2"/>
  <c r="K61" i="2"/>
  <c r="I61" i="2"/>
  <c r="G61" i="2"/>
  <c r="E61" i="2"/>
  <c r="C61" i="2"/>
  <c r="X60" i="2"/>
  <c r="X59" i="2"/>
  <c r="W58" i="2"/>
  <c r="A58" i="2"/>
  <c r="T56" i="2"/>
  <c r="N56" i="2"/>
  <c r="H56" i="2"/>
  <c r="B56" i="2"/>
  <c r="V30" i="2"/>
  <c r="P30" i="2"/>
  <c r="J30" i="2"/>
  <c r="D30" i="2"/>
  <c r="W29" i="2"/>
  <c r="V29" i="2"/>
  <c r="U29" i="2"/>
  <c r="T29" i="2"/>
  <c r="Q29" i="2"/>
  <c r="P29" i="2"/>
  <c r="O29" i="2"/>
  <c r="N29" i="2"/>
  <c r="J29" i="2"/>
  <c r="I29" i="2"/>
  <c r="H29" i="2"/>
  <c r="E29" i="2"/>
  <c r="D29" i="2"/>
  <c r="C29" i="2"/>
  <c r="B29" i="2"/>
  <c r="W28" i="2"/>
  <c r="T28" i="2"/>
  <c r="Q28" i="2"/>
  <c r="N28" i="2"/>
  <c r="K28" i="2"/>
  <c r="H28" i="2"/>
  <c r="E28" i="2"/>
  <c r="B28" i="2"/>
  <c r="A26" i="2"/>
  <c r="K24" i="2"/>
  <c r="H24" i="2"/>
  <c r="E24" i="2"/>
  <c r="B24" i="2"/>
  <c r="U23" i="2"/>
  <c r="N23" i="2"/>
  <c r="K23" i="2"/>
  <c r="H23" i="2"/>
  <c r="E23" i="2"/>
  <c r="B23" i="2"/>
  <c r="K22" i="2"/>
  <c r="H22" i="2"/>
  <c r="E22" i="2"/>
  <c r="B22" i="2"/>
  <c r="AD21" i="2"/>
  <c r="N21" i="2"/>
  <c r="K21" i="2"/>
  <c r="H21" i="2"/>
  <c r="E21" i="2"/>
  <c r="B21" i="2"/>
  <c r="N20" i="2"/>
  <c r="K20" i="2"/>
  <c r="H20" i="2"/>
  <c r="E20" i="2"/>
  <c r="B20" i="2"/>
  <c r="R18" i="2"/>
  <c r="P18" i="2"/>
  <c r="N18" i="2"/>
  <c r="C18" i="2"/>
  <c r="J17" i="2"/>
  <c r="C17" i="2"/>
  <c r="C16" i="2"/>
  <c r="M15" i="2"/>
  <c r="L15" i="2"/>
  <c r="J15" i="2"/>
  <c r="C15" i="2"/>
  <c r="O14" i="2"/>
  <c r="M14" i="2"/>
  <c r="L14" i="2"/>
  <c r="J14" i="2"/>
  <c r="B14" i="2"/>
  <c r="R12" i="2"/>
  <c r="P12" i="2"/>
  <c r="N12" i="2"/>
  <c r="L12" i="2"/>
  <c r="C12" i="2"/>
  <c r="J11" i="2"/>
  <c r="C11" i="2"/>
  <c r="R9" i="2"/>
  <c r="L9" i="2"/>
  <c r="C9" i="2"/>
  <c r="U8" i="2"/>
  <c r="J8" i="2"/>
  <c r="C8" i="2"/>
  <c r="B7" i="2"/>
  <c r="T6" i="2"/>
  <c r="T5" i="2"/>
  <c r="T4" i="2"/>
  <c r="X2" i="2"/>
  <c r="X1" i="2"/>
  <c r="AC3" i="2"/>
  <c r="E31" i="2"/>
  <c r="K31" i="2"/>
  <c r="Q31" i="2"/>
  <c r="W31" i="2"/>
  <c r="AD31" i="2"/>
  <c r="AE31" i="2"/>
  <c r="AF31" i="2"/>
  <c r="AG31" i="2"/>
  <c r="K32" i="2"/>
  <c r="Q32" i="2"/>
  <c r="W32" i="2"/>
  <c r="AE32" i="2"/>
  <c r="Z32" i="2" s="1"/>
  <c r="AF32" i="2"/>
  <c r="AG32" i="2"/>
  <c r="E33" i="2"/>
  <c r="K33" i="2"/>
  <c r="Q33" i="2"/>
  <c r="W33" i="2"/>
  <c r="AD33" i="2"/>
  <c r="Z33" i="2" s="1"/>
  <c r="AG33" i="2"/>
  <c r="E34" i="2"/>
  <c r="K34" i="2"/>
  <c r="Q34" i="2"/>
  <c r="W34" i="2"/>
  <c r="AD34" i="2"/>
  <c r="Z34" i="2" s="1"/>
  <c r="AG34" i="2"/>
  <c r="E35" i="2"/>
  <c r="K35" i="2"/>
  <c r="Q35" i="2"/>
  <c r="W35" i="2"/>
  <c r="E36" i="2"/>
  <c r="K36" i="2"/>
  <c r="Q36" i="2"/>
  <c r="W36" i="2"/>
  <c r="E37" i="2"/>
  <c r="K37" i="2"/>
  <c r="Q37" i="2"/>
  <c r="W37" i="2"/>
  <c r="E38" i="2"/>
  <c r="K38" i="2"/>
  <c r="Q38" i="2"/>
  <c r="W38" i="2"/>
  <c r="AE38" i="2"/>
  <c r="Z38" i="2" s="1"/>
  <c r="M34" i="2" s="1"/>
  <c r="AF38" i="2"/>
  <c r="AG38" i="2"/>
  <c r="E39" i="2"/>
  <c r="K39" i="2"/>
  <c r="Q39" i="2"/>
  <c r="W39" i="2"/>
  <c r="E40" i="2"/>
  <c r="K40" i="2"/>
  <c r="Q40" i="2"/>
  <c r="W40" i="2"/>
  <c r="E41" i="2"/>
  <c r="K41" i="2"/>
  <c r="Q41" i="2"/>
  <c r="W41" i="2"/>
  <c r="E42" i="2"/>
  <c r="K42" i="2"/>
  <c r="Q42" i="2"/>
  <c r="W42" i="2"/>
  <c r="E43" i="2"/>
  <c r="K43" i="2"/>
  <c r="Q43" i="2"/>
  <c r="W43" i="2"/>
  <c r="E44" i="2"/>
  <c r="K44" i="2"/>
  <c r="Q44" i="2"/>
  <c r="W44" i="2"/>
  <c r="E45" i="2"/>
  <c r="K45" i="2"/>
  <c r="Q45" i="2"/>
  <c r="W45" i="2"/>
  <c r="E46" i="2"/>
  <c r="K46" i="2"/>
  <c r="Q46" i="2"/>
  <c r="W46" i="2"/>
  <c r="E47" i="2"/>
  <c r="K47" i="2"/>
  <c r="Q47" i="2"/>
  <c r="W47" i="2"/>
  <c r="E48" i="2"/>
  <c r="K48" i="2"/>
  <c r="Q48" i="2"/>
  <c r="W48" i="2"/>
  <c r="E49" i="2"/>
  <c r="K49" i="2"/>
  <c r="Q49" i="2"/>
  <c r="W49" i="2"/>
  <c r="E50" i="2"/>
  <c r="K50" i="2"/>
  <c r="Q50" i="2"/>
  <c r="W50" i="2"/>
  <c r="E51" i="2"/>
  <c r="K51" i="2"/>
  <c r="Q51" i="2"/>
  <c r="W51" i="2"/>
  <c r="E52" i="2"/>
  <c r="K52" i="2"/>
  <c r="Q52" i="2"/>
  <c r="W52" i="2"/>
  <c r="E53" i="2"/>
  <c r="K53" i="2"/>
  <c r="Q53" i="2"/>
  <c r="W53" i="2"/>
  <c r="E54" i="2"/>
  <c r="K54" i="2"/>
  <c r="Q54" i="2"/>
  <c r="W54" i="2"/>
  <c r="E55" i="2"/>
  <c r="K55" i="2"/>
  <c r="Q55" i="2"/>
  <c r="W55" i="2"/>
  <c r="C57" i="2"/>
  <c r="I57" i="2"/>
  <c r="O57" i="2"/>
  <c r="U57" i="2"/>
  <c r="V62" i="2"/>
  <c r="AX62" i="2"/>
  <c r="I62" i="2" s="1"/>
  <c r="V63" i="2"/>
  <c r="AX63" i="2"/>
  <c r="I63" i="2" s="1"/>
  <c r="V64" i="2"/>
  <c r="AX64" i="2"/>
  <c r="I64" i="2" s="1"/>
  <c r="V65" i="2"/>
  <c r="AX65" i="2"/>
  <c r="I65" i="2" s="1"/>
  <c r="V66" i="2"/>
  <c r="AX66" i="2"/>
  <c r="I66" i="2" s="1"/>
  <c r="AX70" i="2"/>
  <c r="I70" i="2" s="1"/>
  <c r="AX71" i="2"/>
  <c r="I71" i="2" s="1"/>
  <c r="AX72" i="2"/>
  <c r="I72" i="2" s="1"/>
  <c r="AX73" i="2"/>
  <c r="I73" i="2" s="1"/>
  <c r="AX78" i="2"/>
  <c r="I78" i="2" s="1"/>
  <c r="AX92" i="2"/>
  <c r="I92" i="2" s="1"/>
  <c r="AX93" i="2"/>
  <c r="I93" i="2" s="1"/>
  <c r="X103" i="2"/>
  <c r="E56" i="2" l="1"/>
  <c r="E3" i="6" s="1"/>
  <c r="L57" i="5"/>
  <c r="W56" i="2"/>
  <c r="Z31" i="2"/>
  <c r="M31" i="2"/>
  <c r="M32" i="2"/>
  <c r="M33" i="2"/>
  <c r="B67" i="2"/>
  <c r="X67" i="2" s="1"/>
  <c r="Q56" i="2"/>
  <c r="K56" i="2"/>
  <c r="X57" i="2" l="1"/>
  <c r="E6" i="6"/>
  <c r="R57" i="2"/>
  <c r="E5" i="6"/>
  <c r="L57" i="2"/>
  <c r="E4" i="6"/>
  <c r="AF8" i="2"/>
  <c r="E9" i="6" l="1"/>
  <c r="B3" i="6" s="1"/>
  <c r="B4" i="6" s="1"/>
</calcChain>
</file>

<file path=xl/sharedStrings.xml><?xml version="1.0" encoding="utf-8"?>
<sst xmlns="http://schemas.openxmlformats.org/spreadsheetml/2006/main" count="2214" uniqueCount="1718">
  <si>
    <t>533014</t>
  </si>
  <si>
    <t>533066</t>
  </si>
  <si>
    <t>533004</t>
  </si>
  <si>
    <t>533060</t>
  </si>
  <si>
    <t>533012</t>
  </si>
  <si>
    <t>533013</t>
  </si>
  <si>
    <t>533062</t>
  </si>
  <si>
    <t>533065</t>
  </si>
  <si>
    <t>533027</t>
  </si>
  <si>
    <t>533007</t>
  </si>
  <si>
    <t>533017</t>
  </si>
  <si>
    <t>533025</t>
  </si>
  <si>
    <t>533009</t>
  </si>
  <si>
    <t>533010</t>
  </si>
  <si>
    <t>533016</t>
  </si>
  <si>
    <t>533008</t>
  </si>
  <si>
    <t>533011</t>
  </si>
  <si>
    <t xml:space="preserve"> 533003</t>
  </si>
  <si>
    <t>594611</t>
  </si>
  <si>
    <t>594608</t>
  </si>
  <si>
    <t>111555</t>
  </si>
  <si>
    <t>111556</t>
  </si>
  <si>
    <t>594610</t>
  </si>
  <si>
    <t>594612</t>
  </si>
  <si>
    <t>594613</t>
  </si>
  <si>
    <t>594606</t>
  </si>
  <si>
    <t>594603</t>
  </si>
  <si>
    <t>111561</t>
  </si>
  <si>
    <t>111563</t>
  </si>
  <si>
    <t>594605</t>
  </si>
  <si>
    <t>111558</t>
  </si>
  <si>
    <t>111562</t>
  </si>
  <si>
    <t>111553</t>
  </si>
  <si>
    <t>111559</t>
  </si>
  <si>
    <t>111551</t>
  </si>
  <si>
    <t>111560</t>
  </si>
  <si>
    <t>111550</t>
  </si>
  <si>
    <t xml:space="preserve"> 111552</t>
  </si>
  <si>
    <t>Art.Nr.:</t>
  </si>
  <si>
    <t>Patinagrau</t>
  </si>
  <si>
    <t>bronze</t>
  </si>
  <si>
    <t>Steingrau</t>
  </si>
  <si>
    <t>Sandbraun</t>
  </si>
  <si>
    <t>Eiche natur</t>
  </si>
  <si>
    <t>Eiche beige</t>
  </si>
  <si>
    <t>walnussbraun</t>
  </si>
  <si>
    <t>sw.grau</t>
  </si>
  <si>
    <t>rauchsilber</t>
  </si>
  <si>
    <t>dunkelgrau</t>
  </si>
  <si>
    <t>reinweiß</t>
  </si>
  <si>
    <t>silbermetallic</t>
  </si>
  <si>
    <t>nussbraun</t>
  </si>
  <si>
    <t>prefaweiß</t>
  </si>
  <si>
    <t>hellgrau</t>
  </si>
  <si>
    <t>moosgrün</t>
  </si>
  <si>
    <t>oxydrot</t>
  </si>
  <si>
    <t>ziegelrot</t>
  </si>
  <si>
    <t>schwarz</t>
  </si>
  <si>
    <t>az</t>
  </si>
  <si>
    <t>braun</t>
  </si>
  <si>
    <t>560062</t>
  </si>
  <si>
    <t>560049</t>
  </si>
  <si>
    <t>120430</t>
  </si>
  <si>
    <t>560057</t>
  </si>
  <si>
    <t>560064</t>
  </si>
  <si>
    <t>560065</t>
  </si>
  <si>
    <t>560060</t>
  </si>
  <si>
    <t>560061</t>
  </si>
  <si>
    <t>120432</t>
  </si>
  <si>
    <t>120433</t>
  </si>
  <si>
    <t>560042</t>
  </si>
  <si>
    <t>120406</t>
  </si>
  <si>
    <t>122000</t>
  </si>
  <si>
    <t>120402</t>
  </si>
  <si>
    <t>120401</t>
  </si>
  <si>
    <t>120405</t>
  </si>
  <si>
    <t>120408</t>
  </si>
  <si>
    <t>120400</t>
  </si>
  <si>
    <t xml:space="preserve"> 120403</t>
  </si>
  <si>
    <t>594264</t>
  </si>
  <si>
    <t>594261</t>
  </si>
  <si>
    <t>111534</t>
  </si>
  <si>
    <t>111540</t>
  </si>
  <si>
    <t>594259</t>
  </si>
  <si>
    <t>594256</t>
  </si>
  <si>
    <t>111542</t>
  </si>
  <si>
    <t>111543</t>
  </si>
  <si>
    <t>594258</t>
  </si>
  <si>
    <t>111536</t>
  </si>
  <si>
    <t>111541</t>
  </si>
  <si>
    <t>111532</t>
  </si>
  <si>
    <t>111537</t>
  </si>
  <si>
    <t>111531</t>
  </si>
  <si>
    <t>111535</t>
  </si>
  <si>
    <t>111538</t>
  </si>
  <si>
    <t>111530</t>
  </si>
  <si>
    <t xml:space="preserve"> 111533</t>
  </si>
  <si>
    <t>594244</t>
  </si>
  <si>
    <t>594241</t>
  </si>
  <si>
    <t>111512</t>
  </si>
  <si>
    <t>111520</t>
  </si>
  <si>
    <t>594238</t>
  </si>
  <si>
    <t>594236</t>
  </si>
  <si>
    <t>111522</t>
  </si>
  <si>
    <t>594240</t>
  </si>
  <si>
    <t>111516</t>
  </si>
  <si>
    <t>111521</t>
  </si>
  <si>
    <t>111511</t>
  </si>
  <si>
    <t>111517</t>
  </si>
  <si>
    <t>111513</t>
  </si>
  <si>
    <t>111515</t>
  </si>
  <si>
    <t>111518</t>
  </si>
  <si>
    <t>111510</t>
  </si>
  <si>
    <t>111514</t>
  </si>
  <si>
    <t>594233</t>
  </si>
  <si>
    <t>594229</t>
  </si>
  <si>
    <t>111073</t>
  </si>
  <si>
    <t>111075</t>
  </si>
  <si>
    <t>594231</t>
  </si>
  <si>
    <t>594232</t>
  </si>
  <si>
    <t>594234</t>
  </si>
  <si>
    <t>594227</t>
  </si>
  <si>
    <t>594224</t>
  </si>
  <si>
    <t>122101</t>
  </si>
  <si>
    <t>122102</t>
  </si>
  <si>
    <t>594226</t>
  </si>
  <si>
    <t>122100</t>
  </si>
  <si>
    <t>111072</t>
  </si>
  <si>
    <t>111079</t>
  </si>
  <si>
    <t>111071</t>
  </si>
  <si>
    <t>111076</t>
  </si>
  <si>
    <t>111091</t>
  </si>
  <si>
    <t>111070</t>
  </si>
  <si>
    <t xml:space="preserve">111077 </t>
  </si>
  <si>
    <t>594249</t>
  </si>
  <si>
    <t>111084</t>
  </si>
  <si>
    <t>111088</t>
  </si>
  <si>
    <t>594253</t>
  </si>
  <si>
    <t>594254</t>
  </si>
  <si>
    <t>111093</t>
  </si>
  <si>
    <t>111094</t>
  </si>
  <si>
    <t>594251</t>
  </si>
  <si>
    <t>111086</t>
  </si>
  <si>
    <t>111089</t>
  </si>
  <si>
    <t>111082</t>
  </si>
  <si>
    <t>111090</t>
  </si>
  <si>
    <t>111081</t>
  </si>
  <si>
    <t>111085</t>
  </si>
  <si>
    <t>111092</t>
  </si>
  <si>
    <t>111080</t>
  </si>
  <si>
    <t xml:space="preserve"> 111083</t>
  </si>
  <si>
    <t>042039</t>
  </si>
  <si>
    <t>042040</t>
  </si>
  <si>
    <t>042032</t>
  </si>
  <si>
    <t>042035</t>
  </si>
  <si>
    <t xml:space="preserve"> </t>
  </si>
  <si>
    <t>042043</t>
  </si>
  <si>
    <t>042028</t>
  </si>
  <si>
    <t>042036</t>
  </si>
  <si>
    <t>042038</t>
  </si>
  <si>
    <t>042022</t>
  </si>
  <si>
    <t>042060</t>
  </si>
  <si>
    <t>042061</t>
  </si>
  <si>
    <t>042025</t>
  </si>
  <si>
    <t>042047</t>
  </si>
  <si>
    <t>042048</t>
  </si>
  <si>
    <t>042027</t>
  </si>
  <si>
    <t>042041</t>
  </si>
  <si>
    <t>042045</t>
  </si>
  <si>
    <t>042046</t>
  </si>
  <si>
    <t>042031</t>
  </si>
  <si>
    <t xml:space="preserve"> 042044</t>
  </si>
  <si>
    <t>042033</t>
  </si>
  <si>
    <t xml:space="preserve"> 042034</t>
  </si>
  <si>
    <t>030361</t>
  </si>
  <si>
    <t>040104</t>
  </si>
  <si>
    <t>040404</t>
  </si>
  <si>
    <t>040405</t>
  </si>
  <si>
    <t>030369</t>
  </si>
  <si>
    <t>040106</t>
  </si>
  <si>
    <t>040402</t>
  </si>
  <si>
    <t>040102</t>
  </si>
  <si>
    <t>040107</t>
  </si>
  <si>
    <t>040101</t>
  </si>
  <si>
    <t>040105</t>
  </si>
  <si>
    <t>040108</t>
  </si>
  <si>
    <t>040100</t>
  </si>
  <si>
    <t>040103</t>
  </si>
  <si>
    <t>042001</t>
  </si>
  <si>
    <t>042004</t>
  </si>
  <si>
    <t>042005</t>
  </si>
  <si>
    <t>glatt</t>
  </si>
  <si>
    <t>Hinweis</t>
  </si>
  <si>
    <t>Ausschluss 400</t>
  </si>
  <si>
    <t>Ausschluss 300</t>
  </si>
  <si>
    <t>Ausschluss 200</t>
  </si>
  <si>
    <t>wo ned geht kommt 1</t>
  </si>
  <si>
    <t>ok</t>
  </si>
  <si>
    <t>Ausschluss 138</t>
  </si>
  <si>
    <t>liniert</t>
  </si>
  <si>
    <t>stucco</t>
  </si>
  <si>
    <t>Siding.X</t>
  </si>
  <si>
    <t>Hinweis bei:</t>
  </si>
  <si>
    <t>m²</t>
  </si>
  <si>
    <t>hrvatski</t>
  </si>
  <si>
    <t>norsk</t>
  </si>
  <si>
    <t>Farbe</t>
  </si>
  <si>
    <t>dansk</t>
  </si>
  <si>
    <t>svenska</t>
  </si>
  <si>
    <t>SF</t>
  </si>
  <si>
    <t>Slovenski</t>
  </si>
  <si>
    <t>Nederlands</t>
  </si>
  <si>
    <t>slovenský</t>
  </si>
  <si>
    <t>Abkantung</t>
  </si>
  <si>
    <t>magyar</t>
  </si>
  <si>
    <t>polski</t>
  </si>
  <si>
    <t>český</t>
  </si>
  <si>
    <t>Fuge</t>
  </si>
  <si>
    <t>italiano</t>
  </si>
  <si>
    <t>français</t>
  </si>
  <si>
    <t>Oberfläche</t>
  </si>
  <si>
    <t>English</t>
  </si>
  <si>
    <t>Deutsch</t>
  </si>
  <si>
    <t>Service</t>
  </si>
  <si>
    <t>Abfrage unterschiedliche Materialstärken</t>
  </si>
  <si>
    <t>Sprache</t>
  </si>
  <si>
    <t>_DEUTSCH</t>
  </si>
  <si>
    <t>_ENGLISCH</t>
  </si>
  <si>
    <t>_FRANZÖSISCH</t>
  </si>
  <si>
    <t>_ITALIENISCH</t>
  </si>
  <si>
    <t>_Tschechisch</t>
  </si>
  <si>
    <t>_Polnisch</t>
  </si>
  <si>
    <t>_Ungarisch</t>
  </si>
  <si>
    <t>_Slowakisch</t>
  </si>
  <si>
    <t>_Niederländisch</t>
  </si>
  <si>
    <t>_Slowenisch</t>
  </si>
  <si>
    <t>_Schwedisch</t>
  </si>
  <si>
    <t>_Dänisch</t>
  </si>
  <si>
    <t>_Norwegisch</t>
  </si>
  <si>
    <t>_Kroatisch</t>
  </si>
  <si>
    <t>[in mm]</t>
  </si>
  <si>
    <t>[en mm]</t>
  </si>
  <si>
    <t>(v mm)</t>
  </si>
  <si>
    <t>[w mm]</t>
  </si>
  <si>
    <t>(mm-ben)</t>
  </si>
  <si>
    <r>
      <rPr>
        <sz val="11"/>
        <color theme="1"/>
        <rFont val="Calibri"/>
        <family val="2"/>
      </rPr>
      <t>[in mm]</t>
    </r>
  </si>
  <si>
    <r>
      <rPr>
        <sz val="11"/>
        <color theme="1"/>
        <rFont val="Calibri"/>
        <family val="2"/>
      </rPr>
      <t>[i mm]</t>
    </r>
  </si>
  <si>
    <t>[u mm]</t>
  </si>
  <si>
    <t>01 P.10 braun</t>
  </si>
  <si>
    <t>01 P.10 brown</t>
  </si>
  <si>
    <t>01 P.10 brun</t>
  </si>
  <si>
    <t>01 P.10 Marrone</t>
  </si>
  <si>
    <t>01 P.10 tmavě hnědá</t>
  </si>
  <si>
    <t>01 P.10 brązowy</t>
  </si>
  <si>
    <t>01 P.10 barna</t>
  </si>
  <si>
    <t>01 P.10 hnedá</t>
  </si>
  <si>
    <r>
      <rPr>
        <sz val="11"/>
        <color theme="1"/>
        <rFont val="Calibri"/>
        <family val="2"/>
      </rPr>
      <t>01 P.10 bruin</t>
    </r>
  </si>
  <si>
    <t>01 P.10 anodik rjava</t>
  </si>
  <si>
    <r>
      <rPr>
        <sz val="11"/>
        <color theme="1"/>
        <rFont val="Calibri"/>
        <family val="2"/>
      </rPr>
      <t>01 P.10 brun</t>
    </r>
  </si>
  <si>
    <t>01 P.10 smeđa</t>
  </si>
  <si>
    <t>02 P.10 anthrazit</t>
  </si>
  <si>
    <t>02 P.10 anthracite</t>
  </si>
  <si>
    <t>02 P.10 Antracite</t>
  </si>
  <si>
    <t>02 P.10 antracit</t>
  </si>
  <si>
    <t>02 P.10 antracytowy</t>
  </si>
  <si>
    <t>02 P.10 antracitová</t>
  </si>
  <si>
    <t>02 P.10 antraciet</t>
  </si>
  <si>
    <t>02 P.10 antracitna</t>
  </si>
  <si>
    <t>02 P.10 antrazit</t>
  </si>
  <si>
    <t>02 P.10 antrasitt</t>
  </si>
  <si>
    <t>03 P.10 schwarz</t>
  </si>
  <si>
    <t>03 P.10 black</t>
  </si>
  <si>
    <t>03 P.10 noir</t>
  </si>
  <si>
    <t>03 P.10 Nero</t>
  </si>
  <si>
    <t>03 P.10 černá</t>
  </si>
  <si>
    <t>03 P.10 czarny</t>
  </si>
  <si>
    <t>03 P.10 fekete</t>
  </si>
  <si>
    <t>03 P.10 čierna</t>
  </si>
  <si>
    <r>
      <rPr>
        <sz val="11"/>
        <color theme="1"/>
        <rFont val="Calibri"/>
        <family val="2"/>
      </rPr>
      <t>03 P.10 zwart</t>
    </r>
  </si>
  <si>
    <t>03 P.10 črna</t>
  </si>
  <si>
    <r>
      <rPr>
        <sz val="11"/>
        <color theme="1"/>
        <rFont val="Calibri"/>
        <family val="2"/>
      </rPr>
      <t>03 P.10 svart</t>
    </r>
  </si>
  <si>
    <r>
      <rPr>
        <sz val="11"/>
        <color theme="1"/>
        <rFont val="Calibri"/>
        <family val="2"/>
      </rPr>
      <t>03 P.10 sort</t>
    </r>
  </si>
  <si>
    <t>03 P.10 crna</t>
  </si>
  <si>
    <t>04 P.10 ziegelrot</t>
  </si>
  <si>
    <t>04 P.10 brick red</t>
  </si>
  <si>
    <t>04 P.10 rouge tuile</t>
  </si>
  <si>
    <t>04 P.10 Rosso cotto</t>
  </si>
  <si>
    <t>04 P.10 cihlově červená</t>
  </si>
  <si>
    <t>04 P.10 ceglasty</t>
  </si>
  <si>
    <t>04 P.10 téglavörös</t>
  </si>
  <si>
    <t>04 P.10 tehlovočervená</t>
  </si>
  <si>
    <r>
      <rPr>
        <sz val="11"/>
        <color theme="1"/>
        <rFont val="Calibri"/>
        <family val="2"/>
      </rPr>
      <t>04 P.10 dakpannenrood</t>
    </r>
  </si>
  <si>
    <t>04 P.10 bakreno rjava</t>
  </si>
  <si>
    <r>
      <rPr>
        <sz val="11"/>
        <color theme="1"/>
        <rFont val="Calibri"/>
        <family val="2"/>
      </rPr>
      <t>04 P.10 tegelröd</t>
    </r>
  </si>
  <si>
    <r>
      <rPr>
        <sz val="11"/>
        <color theme="1"/>
        <rFont val="Calibri"/>
        <family val="2"/>
      </rPr>
      <t>04 P.10 teglrød</t>
    </r>
  </si>
  <si>
    <r>
      <rPr>
        <sz val="11"/>
        <color theme="1"/>
        <rFont val="Calibri"/>
        <family val="2"/>
      </rPr>
      <t>04 P.10 teglsteinsrød</t>
    </r>
  </si>
  <si>
    <t>04 P.10 ciglasto crvena</t>
  </si>
  <si>
    <t>05 P.10 oxydrot</t>
  </si>
  <si>
    <t>05 P.10 oxide red</t>
  </si>
  <si>
    <t>05 P.10 rouge oxyde</t>
  </si>
  <si>
    <t>05 P.10 Rosso ossido</t>
  </si>
  <si>
    <t>05 P.10 tmavě červená</t>
  </si>
  <si>
    <t>05 P.10 czerwony</t>
  </si>
  <si>
    <t>05 P.10 rozsdavörös</t>
  </si>
  <si>
    <t>05 P.10 tmavočervená</t>
  </si>
  <si>
    <r>
      <rPr>
        <sz val="11"/>
        <color theme="1"/>
        <rFont val="Calibri"/>
        <family val="2"/>
      </rPr>
      <t>05 P.10 oxiderood</t>
    </r>
  </si>
  <si>
    <t>05 P.10 oksidno rdeča</t>
  </si>
  <si>
    <r>
      <rPr>
        <sz val="11"/>
        <color theme="1"/>
        <rFont val="Calibri"/>
        <family val="2"/>
      </rPr>
      <t>05 P.10 oxidröd</t>
    </r>
  </si>
  <si>
    <r>
      <rPr>
        <sz val="11"/>
        <color theme="1"/>
        <rFont val="Calibri"/>
        <family val="2"/>
      </rPr>
      <t>05 P.10 oxidrød</t>
    </r>
  </si>
  <si>
    <r>
      <rPr>
        <sz val="11"/>
        <color theme="1"/>
        <rFont val="Calibri"/>
        <family val="2"/>
      </rPr>
      <t>05 P.10 oksidrød</t>
    </r>
  </si>
  <si>
    <t>05 P.10 oksidno crvena</t>
  </si>
  <si>
    <t>06 P.10 moosgrün</t>
  </si>
  <si>
    <t>06 P.10 moss green</t>
  </si>
  <si>
    <t>06 P.10 vert mousse</t>
  </si>
  <si>
    <t>06 P.10 Verde muschio</t>
  </si>
  <si>
    <t>06 P.10 mechově zelená</t>
  </si>
  <si>
    <t>06 P.10 zieleń mchu</t>
  </si>
  <si>
    <t>06 P.10 mohazöld</t>
  </si>
  <si>
    <t>06 P.10 machovozelená</t>
  </si>
  <si>
    <r>
      <rPr>
        <sz val="11"/>
        <color theme="1"/>
        <rFont val="Calibri"/>
        <family val="2"/>
      </rPr>
      <t>06 P.10 mosgroen</t>
    </r>
  </si>
  <si>
    <t>06 P.10 mahovo zelena</t>
  </si>
  <si>
    <r>
      <rPr>
        <sz val="11"/>
        <color theme="1"/>
        <rFont val="Calibri"/>
        <family val="2"/>
      </rPr>
      <t>06 P.10 mossgrön</t>
    </r>
  </si>
  <si>
    <r>
      <rPr>
        <sz val="11"/>
        <color theme="1"/>
        <rFont val="Calibri"/>
        <family val="2"/>
      </rPr>
      <t>06 P.10 mosgrøn</t>
    </r>
  </si>
  <si>
    <r>
      <rPr>
        <sz val="11"/>
        <color theme="1"/>
        <rFont val="Calibri"/>
        <family val="2"/>
      </rPr>
      <t>06 P.10 mosegrønn</t>
    </r>
  </si>
  <si>
    <t>06 P.10 mahovinasto zelena</t>
  </si>
  <si>
    <t>07 P.10 hellgrau</t>
  </si>
  <si>
    <t>07 P.10 light grey</t>
  </si>
  <si>
    <t>07 P.10 gris souris</t>
  </si>
  <si>
    <t>07 P.10 Grigio chiaro</t>
  </si>
  <si>
    <t>07 P.10 světle šedá</t>
  </si>
  <si>
    <t>07 P.10 jasnoszary</t>
  </si>
  <si>
    <t>07 P.10 világosszürke</t>
  </si>
  <si>
    <t>07 P.10 svetlošedá</t>
  </si>
  <si>
    <r>
      <rPr>
        <sz val="11"/>
        <color theme="1"/>
        <rFont val="Calibri"/>
        <family val="2"/>
      </rPr>
      <t>07 P.10 lichtgrijs</t>
    </r>
  </si>
  <si>
    <t>07 P.10 svetlo siva</t>
  </si>
  <si>
    <r>
      <rPr>
        <sz val="11"/>
        <color theme="1"/>
        <rFont val="Calibri"/>
        <family val="2"/>
      </rPr>
      <t>07 P.10 ljusgrå</t>
    </r>
  </si>
  <si>
    <r>
      <rPr>
        <sz val="11"/>
        <color theme="1"/>
        <rFont val="Calibri"/>
        <family val="2"/>
      </rPr>
      <t>07 P.10 lys grå</t>
    </r>
  </si>
  <si>
    <t>07 P.10 svijetlo siva</t>
  </si>
  <si>
    <t>10 P.10 prefaweiß</t>
  </si>
  <si>
    <t>10 P.10 prefa white</t>
  </si>
  <si>
    <t>10 P.10 blanc prefa</t>
  </si>
  <si>
    <t>10 P.10 bianco PREFA</t>
  </si>
  <si>
    <t>10 P.10 Prefa bílá</t>
  </si>
  <si>
    <t>10 P.10 biały prefa</t>
  </si>
  <si>
    <t>10 P.10 pferafehér</t>
  </si>
  <si>
    <t>10 P.10 prefa biela</t>
  </si>
  <si>
    <r>
      <rPr>
        <sz val="11"/>
        <color theme="1"/>
        <rFont val="Calibri"/>
        <family val="2"/>
      </rPr>
      <t>10 P.10 prefawit</t>
    </r>
  </si>
  <si>
    <r>
      <rPr>
        <sz val="11"/>
        <color theme="1"/>
        <rFont val="Calibri"/>
        <family val="2"/>
      </rPr>
      <t>10 P.10 prefavit</t>
    </r>
  </si>
  <si>
    <r>
      <rPr>
        <sz val="11"/>
        <color theme="1"/>
        <rFont val="Calibri"/>
        <family val="2"/>
      </rPr>
      <t>10 P.10 prefahvid</t>
    </r>
  </si>
  <si>
    <r>
      <rPr>
        <sz val="11"/>
        <color theme="1"/>
        <rFont val="Calibri"/>
        <family val="2"/>
      </rPr>
      <t>10 P.10 prefahvit</t>
    </r>
  </si>
  <si>
    <t>10 P.10 prefa bijela</t>
  </si>
  <si>
    <t>11 P.10 nussbraun</t>
  </si>
  <si>
    <t>11 P.10 nut brown</t>
  </si>
  <si>
    <t>11 P.10 brun noisette</t>
  </si>
  <si>
    <t>11 P.10 Testa di moro</t>
  </si>
  <si>
    <t>11 P.10 oříšková</t>
  </si>
  <si>
    <t>11 P.10 szarocynkowy</t>
  </si>
  <si>
    <t>11 P.10 mogyoróbarna</t>
  </si>
  <si>
    <t>11 P.10 orieškovohnedá</t>
  </si>
  <si>
    <r>
      <rPr>
        <sz val="11"/>
        <color theme="1"/>
        <rFont val="Calibri"/>
        <family val="2"/>
      </rPr>
      <t>11 P.10 notenkleurig</t>
    </r>
  </si>
  <si>
    <t>11 P.10 testa di moro</t>
  </si>
  <si>
    <r>
      <rPr>
        <sz val="11"/>
        <color theme="1"/>
        <rFont val="Calibri"/>
        <family val="2"/>
      </rPr>
      <t>11 P.10 nötbrun</t>
    </r>
  </si>
  <si>
    <r>
      <rPr>
        <sz val="11"/>
        <color theme="1"/>
        <rFont val="Calibri"/>
        <family val="2"/>
      </rPr>
      <t>11 P.10 nøddebrun</t>
    </r>
  </si>
  <si>
    <r>
      <rPr>
        <sz val="11"/>
        <color theme="1"/>
        <rFont val="Calibri"/>
        <family val="2"/>
      </rPr>
      <t>11 P.10 nøttebrun</t>
    </r>
  </si>
  <si>
    <t>11 P.10 lješnjak smeđa</t>
  </si>
  <si>
    <t>12 silbermetallic</t>
  </si>
  <si>
    <t>12 metallic silver</t>
  </si>
  <si>
    <t>12 argent métallisé</t>
  </si>
  <si>
    <t>12 silver metallizzato</t>
  </si>
  <si>
    <t>12 stříbrná metalíza</t>
  </si>
  <si>
    <t>12 srebrny metalik</t>
  </si>
  <si>
    <t>12 ezüstmetál</t>
  </si>
  <si>
    <t>12 strieborná metalíza</t>
  </si>
  <si>
    <r>
      <rPr>
        <sz val="11"/>
        <color theme="1"/>
        <rFont val="Calibri"/>
        <family val="2"/>
      </rPr>
      <t>12 zilvermetallic</t>
    </r>
  </si>
  <si>
    <r>
      <rPr>
        <sz val="11"/>
        <color theme="1"/>
        <rFont val="Calibri"/>
        <family val="2"/>
      </rPr>
      <t>12 silvermetallic</t>
    </r>
  </si>
  <si>
    <r>
      <rPr>
        <sz val="11"/>
        <color theme="1"/>
        <rFont val="Calibri"/>
        <family val="2"/>
      </rPr>
      <t>12 sølvmetallic</t>
    </r>
  </si>
  <si>
    <r>
      <rPr>
        <sz val="11"/>
        <color theme="1"/>
        <rFont val="Calibri"/>
        <family val="2"/>
      </rPr>
      <t>12 sølv metallic</t>
    </r>
  </si>
  <si>
    <t>12 srebrno metalik</t>
  </si>
  <si>
    <t>138 x 0,7 mm</t>
  </si>
  <si>
    <t>138 × 0.7 mm</t>
  </si>
  <si>
    <t>138 × 0,7 mm</t>
  </si>
  <si>
    <r>
      <rPr>
        <sz val="11"/>
        <color theme="1"/>
        <rFont val="Calibri"/>
        <family val="2"/>
      </rPr>
      <t>138 x 0,7 mm</t>
    </r>
  </si>
  <si>
    <t>138mm</t>
  </si>
  <si>
    <t>138 mm</t>
  </si>
  <si>
    <r>
      <rPr>
        <sz val="11"/>
        <color theme="1"/>
        <rFont val="Calibri"/>
        <family val="2"/>
      </rPr>
      <t>138 mm</t>
    </r>
  </si>
  <si>
    <r>
      <rPr>
        <sz val="11"/>
        <color theme="1"/>
        <rFont val="Calibri"/>
        <family val="2"/>
      </rPr>
      <t>138mm</t>
    </r>
  </si>
  <si>
    <t>17 reinweiß</t>
  </si>
  <si>
    <t>17 pure white</t>
  </si>
  <si>
    <t>17 blanc pur</t>
  </si>
  <si>
    <t>17 bianco puro</t>
  </si>
  <si>
    <t>17 čistě bílá</t>
  </si>
  <si>
    <t>17 czysta biel</t>
  </si>
  <si>
    <t>17 tisztafehér</t>
  </si>
  <si>
    <t>17 biela</t>
  </si>
  <si>
    <r>
      <rPr>
        <sz val="11"/>
        <color theme="1"/>
        <rFont val="Calibri"/>
        <family val="2"/>
      </rPr>
      <t>17 zuiverwit</t>
    </r>
  </si>
  <si>
    <r>
      <rPr>
        <sz val="11"/>
        <color theme="1"/>
        <rFont val="Calibri"/>
        <family val="2"/>
      </rPr>
      <t>17 renvit</t>
    </r>
  </si>
  <si>
    <r>
      <rPr>
        <sz val="11"/>
        <color theme="1"/>
        <rFont val="Calibri"/>
        <family val="2"/>
      </rPr>
      <t>17 ren hvid</t>
    </r>
  </si>
  <si>
    <r>
      <rPr>
        <sz val="11"/>
        <color theme="1"/>
        <rFont val="Calibri"/>
        <family val="2"/>
      </rPr>
      <t>17 ren hvit</t>
    </r>
  </si>
  <si>
    <t>17 čisto bijela</t>
  </si>
  <si>
    <t>20 rauchsilber</t>
  </si>
  <si>
    <t>20 smoke silver</t>
  </si>
  <si>
    <t>20 argent fumé</t>
  </si>
  <si>
    <t>20 grigio fumo</t>
  </si>
  <si>
    <t>20 kouřově stříbrná</t>
  </si>
  <si>
    <t>20 szarydymiony</t>
  </si>
  <si>
    <t>20 füstezüst</t>
  </si>
  <si>
    <t>20 dymová strieborná</t>
  </si>
  <si>
    <r>
      <rPr>
        <sz val="11"/>
        <color theme="1"/>
        <rFont val="Calibri"/>
        <family val="2"/>
      </rPr>
      <t>20 rookzilver</t>
    </r>
  </si>
  <si>
    <r>
      <rPr>
        <sz val="11"/>
        <color theme="1"/>
        <rFont val="Calibri"/>
        <family val="2"/>
      </rPr>
      <t>20 röksilver</t>
    </r>
  </si>
  <si>
    <r>
      <rPr>
        <sz val="11"/>
        <color theme="1"/>
        <rFont val="Calibri"/>
        <family val="2"/>
      </rPr>
      <t>20 grå aluminium</t>
    </r>
  </si>
  <si>
    <r>
      <rPr>
        <sz val="11"/>
        <color theme="1"/>
        <rFont val="Calibri"/>
        <family val="2"/>
      </rPr>
      <t>20 røyk sølv</t>
    </r>
  </si>
  <si>
    <t>20 dim srebrna</t>
  </si>
  <si>
    <t>200 x 1,0 mm</t>
  </si>
  <si>
    <t>200 × 1,0 mm</t>
  </si>
  <si>
    <r>
      <rPr>
        <sz val="11"/>
        <color theme="1"/>
        <rFont val="Calibri"/>
        <family val="2"/>
      </rPr>
      <t>200 x 1,0 mm</t>
    </r>
  </si>
  <si>
    <t>200mm</t>
  </si>
  <si>
    <t>200 mm</t>
  </si>
  <si>
    <r>
      <rPr>
        <sz val="11"/>
        <color theme="1"/>
        <rFont val="Calibri"/>
        <family val="2"/>
      </rPr>
      <t>200 mm</t>
    </r>
  </si>
  <si>
    <r>
      <rPr>
        <sz val="11"/>
        <color theme="1"/>
        <rFont val="Calibri"/>
        <family val="2"/>
      </rPr>
      <t>200mm</t>
    </r>
  </si>
  <si>
    <t>21 rubinrot</t>
  </si>
  <si>
    <t>21 ruby red</t>
  </si>
  <si>
    <t>21 rouge rubis</t>
  </si>
  <si>
    <t>21 rosso rubino</t>
  </si>
  <si>
    <t>21 rubínová</t>
  </si>
  <si>
    <t>21 rubinowy</t>
  </si>
  <si>
    <t>21 rubinvörös</t>
  </si>
  <si>
    <t>21 rubínová červená</t>
  </si>
  <si>
    <r>
      <rPr>
        <sz val="11"/>
        <color theme="1"/>
        <rFont val="Calibri"/>
        <family val="2"/>
      </rPr>
      <t>21 robijnrood</t>
    </r>
  </si>
  <si>
    <r>
      <rPr>
        <sz val="11"/>
        <color theme="1"/>
        <rFont val="Calibri"/>
        <family val="2"/>
      </rPr>
      <t>21 rubinröd</t>
    </r>
  </si>
  <si>
    <r>
      <rPr>
        <sz val="11"/>
        <color theme="1"/>
        <rFont val="Calibri"/>
        <family val="2"/>
      </rPr>
      <t>21 rubinrød</t>
    </r>
  </si>
  <si>
    <t>21 rubin crvena</t>
  </si>
  <si>
    <t>23 schwarzgrau</t>
  </si>
  <si>
    <t>23 black grey</t>
  </si>
  <si>
    <t>23 gris noir</t>
  </si>
  <si>
    <t>23 nero opaco</t>
  </si>
  <si>
    <t>23 černošedá</t>
  </si>
  <si>
    <t>23 ciemnoszary</t>
  </si>
  <si>
    <t>23 sötétszürke</t>
  </si>
  <si>
    <t>23 čiernošedá</t>
  </si>
  <si>
    <r>
      <rPr>
        <sz val="11"/>
        <color theme="1"/>
        <rFont val="Calibri"/>
        <family val="2"/>
      </rPr>
      <t>23 zwartgrijs</t>
    </r>
  </si>
  <si>
    <r>
      <rPr>
        <sz val="11"/>
        <color theme="1"/>
        <rFont val="Calibri"/>
        <family val="2"/>
      </rPr>
      <t>23 svartgrå</t>
    </r>
  </si>
  <si>
    <r>
      <rPr>
        <sz val="11"/>
        <color theme="1"/>
        <rFont val="Calibri"/>
        <family val="2"/>
      </rPr>
      <t>23 sortgrå</t>
    </r>
  </si>
  <si>
    <t>23 crno siva</t>
  </si>
  <si>
    <t>25 elfenbein</t>
  </si>
  <si>
    <t>25 ivory</t>
  </si>
  <si>
    <t>25 ivoire clair</t>
  </si>
  <si>
    <t>25 avorio</t>
  </si>
  <si>
    <t>25 slonová kost</t>
  </si>
  <si>
    <t>25 kość słoniowa</t>
  </si>
  <si>
    <t>25 elefántcsont</t>
  </si>
  <si>
    <t>25 slonová kosť</t>
  </si>
  <si>
    <r>
      <rPr>
        <sz val="11"/>
        <color theme="1"/>
        <rFont val="Calibri"/>
        <family val="2"/>
      </rPr>
      <t>25 ivoor</t>
    </r>
  </si>
  <si>
    <r>
      <rPr>
        <sz val="11"/>
        <color theme="1"/>
        <rFont val="Calibri"/>
        <family val="2"/>
      </rPr>
      <t>25 elfenben</t>
    </r>
  </si>
  <si>
    <r>
      <rPr>
        <sz val="11"/>
        <color theme="1"/>
        <rFont val="Calibri"/>
        <family val="2"/>
      </rPr>
      <t>25 elfenbein</t>
    </r>
  </si>
  <si>
    <t>26 holz dunkel</t>
  </si>
  <si>
    <t>26 dark wood</t>
  </si>
  <si>
    <t>26 bois foncé</t>
  </si>
  <si>
    <t>26 legno scuro</t>
  </si>
  <si>
    <t>26 tmavé dřevo</t>
  </si>
  <si>
    <t>26 kolonialna czerwień</t>
  </si>
  <si>
    <t>26 sötét famintázat</t>
  </si>
  <si>
    <t>26 drevo tmavé</t>
  </si>
  <si>
    <r>
      <rPr>
        <sz val="11"/>
        <color theme="1"/>
        <rFont val="Calibri"/>
        <family val="2"/>
      </rPr>
      <t>26 hout donker</t>
    </r>
  </si>
  <si>
    <r>
      <rPr>
        <sz val="11"/>
        <color theme="1"/>
        <rFont val="Calibri"/>
        <family val="2"/>
      </rPr>
      <t>26 mörkt trä</t>
    </r>
  </si>
  <si>
    <r>
      <rPr>
        <sz val="11"/>
        <color theme="1"/>
        <rFont val="Calibri"/>
        <family val="2"/>
      </rPr>
      <t>26 træ mørk</t>
    </r>
  </si>
  <si>
    <r>
      <rPr>
        <sz val="11"/>
        <color theme="1"/>
        <rFont val="Calibri"/>
        <family val="2"/>
      </rPr>
      <t>26 mørkt tre</t>
    </r>
  </si>
  <si>
    <t>26 tamno drvo</t>
  </si>
  <si>
    <t>300 x 1,0 mm</t>
  </si>
  <si>
    <t>300 × 1,0 mm</t>
  </si>
  <si>
    <r>
      <rPr>
        <sz val="11"/>
        <color theme="1"/>
        <rFont val="Calibri"/>
        <family val="2"/>
      </rPr>
      <t>300 x 1,0 mm</t>
    </r>
  </si>
  <si>
    <t>300 x 1,2 mm</t>
  </si>
  <si>
    <t>300 × 1,2 mm</t>
  </si>
  <si>
    <r>
      <rPr>
        <sz val="11"/>
        <color theme="1"/>
        <rFont val="Calibri"/>
        <family val="2"/>
      </rPr>
      <t>300 x 1,2 mm</t>
    </r>
  </si>
  <si>
    <t>300mm</t>
  </si>
  <si>
    <t>300 mm</t>
  </si>
  <si>
    <r>
      <rPr>
        <sz val="11"/>
        <color theme="1"/>
        <rFont val="Calibri"/>
        <family val="2"/>
      </rPr>
      <t>300 mm</t>
    </r>
  </si>
  <si>
    <r>
      <rPr>
        <sz val="11"/>
        <color theme="1"/>
        <rFont val="Calibri"/>
        <family val="2"/>
      </rPr>
      <t>300mm</t>
    </r>
  </si>
  <si>
    <t>40 Eiche natur</t>
  </si>
  <si>
    <t>40 Chêne Naturel</t>
  </si>
  <si>
    <t>400 x 1,0 mm</t>
  </si>
  <si>
    <t>400 × 1,0 mm</t>
  </si>
  <si>
    <r>
      <rPr>
        <sz val="11"/>
        <color theme="1"/>
        <rFont val="Calibri"/>
        <family val="2"/>
      </rPr>
      <t>400 x 1,0 mm</t>
    </r>
  </si>
  <si>
    <t>400 x 1,2 mm</t>
  </si>
  <si>
    <t>400 × 1,2 mm</t>
  </si>
  <si>
    <r>
      <rPr>
        <sz val="11"/>
        <color theme="1"/>
        <rFont val="Calibri"/>
        <family val="2"/>
      </rPr>
      <t>400 x 1,2 mm</t>
    </r>
  </si>
  <si>
    <t>400mm</t>
  </si>
  <si>
    <t>400 mm</t>
  </si>
  <si>
    <r>
      <rPr>
        <sz val="11"/>
        <color theme="1"/>
        <rFont val="Calibri"/>
        <family val="2"/>
      </rPr>
      <t>400 mm</t>
    </r>
  </si>
  <si>
    <r>
      <rPr>
        <sz val="11"/>
        <color theme="1"/>
        <rFont val="Calibri"/>
        <family val="2"/>
      </rPr>
      <t>400mm</t>
    </r>
  </si>
  <si>
    <t>41 P.10 rostbraun</t>
  </si>
  <si>
    <t>41 P.10 rust brown</t>
  </si>
  <si>
    <t>41 P.10 brun rouille</t>
  </si>
  <si>
    <t>41 P.10 marrone ruggine</t>
  </si>
  <si>
    <t>41 P.10 žíhaná hnědá</t>
  </si>
  <si>
    <t>41 P.10 rdzawy brąz</t>
  </si>
  <si>
    <t>41 P.10 rozsdabarna</t>
  </si>
  <si>
    <t>41 P.10 hrdzavohnedá</t>
  </si>
  <si>
    <r>
      <rPr>
        <sz val="11"/>
        <color theme="1"/>
        <rFont val="Calibri"/>
        <family val="2"/>
      </rPr>
      <t>41 P.10 roestbruin</t>
    </r>
  </si>
  <si>
    <r>
      <rPr>
        <sz val="11"/>
        <color theme="1"/>
        <rFont val="Calibri"/>
        <family val="2"/>
      </rPr>
      <t>41 P.10 rostbrun</t>
    </r>
  </si>
  <si>
    <r>
      <rPr>
        <sz val="11"/>
        <color theme="1"/>
        <rFont val="Calibri"/>
        <family val="2"/>
      </rPr>
      <t>41 P.10 rustbrun</t>
    </r>
  </si>
  <si>
    <t>41 P.10 riđavo crvena</t>
  </si>
  <si>
    <t>42 P.10 sandbraun</t>
  </si>
  <si>
    <t>42 P.10 sand brown</t>
  </si>
  <si>
    <t>42 P.10 brun sable</t>
  </si>
  <si>
    <t>42 P.10 marrone sahara</t>
  </si>
  <si>
    <t>42 P.10 písková</t>
  </si>
  <si>
    <t>42 P.10 piaskowy</t>
  </si>
  <si>
    <t>42 P.10 homokszín</t>
  </si>
  <si>
    <t>42 P.10 pieskovohnedá</t>
  </si>
  <si>
    <r>
      <rPr>
        <sz val="11"/>
        <color theme="1"/>
        <rFont val="Calibri"/>
        <family val="2"/>
      </rPr>
      <t>42 P.10 zandbruin</t>
    </r>
  </si>
  <si>
    <r>
      <rPr>
        <sz val="11"/>
        <color theme="1"/>
        <rFont val="Calibri"/>
        <family val="2"/>
      </rPr>
      <t>42 P.10 sandbrun</t>
    </r>
  </si>
  <si>
    <t>42 P.10 pješčano smeđa</t>
  </si>
  <si>
    <t>43 P.10 steingrau</t>
  </si>
  <si>
    <t>43 P.10 stone grey</t>
  </si>
  <si>
    <t>43 P.10 gris pierre</t>
  </si>
  <si>
    <t>43 P.10 grigio pietra</t>
  </si>
  <si>
    <t>43 P.10 břidlicová</t>
  </si>
  <si>
    <t>43 P.10 szary kamienny</t>
  </si>
  <si>
    <t>43 P.10 márványszürke</t>
  </si>
  <si>
    <t>43 P.10 kamenná šedá</t>
  </si>
  <si>
    <r>
      <rPr>
        <sz val="11"/>
        <color theme="1"/>
        <rFont val="Calibri"/>
        <family val="2"/>
      </rPr>
      <t>43 P.10 steengrijs</t>
    </r>
  </si>
  <si>
    <t>43 P.10 kamnito siva</t>
  </si>
  <si>
    <r>
      <rPr>
        <sz val="11"/>
        <color theme="1"/>
        <rFont val="Calibri"/>
        <family val="2"/>
      </rPr>
      <t>43 P.10 stengrå</t>
    </r>
  </si>
  <si>
    <r>
      <rPr>
        <sz val="11"/>
        <color theme="1"/>
        <rFont val="Calibri"/>
        <family val="2"/>
      </rPr>
      <t>43 P.10 steingrå</t>
    </r>
  </si>
  <si>
    <t>43 P.10 kameno siva</t>
  </si>
  <si>
    <t>45 bronze</t>
  </si>
  <si>
    <t>45 bronzo</t>
  </si>
  <si>
    <t>45 bronzová</t>
  </si>
  <si>
    <t>45 medalowy brąz</t>
  </si>
  <si>
    <t>45 bronz</t>
  </si>
  <si>
    <r>
      <rPr>
        <sz val="11"/>
        <color theme="1"/>
        <rFont val="Calibri"/>
        <family val="2"/>
      </rPr>
      <t>45 brons</t>
    </r>
  </si>
  <si>
    <r>
      <rPr>
        <sz val="11"/>
        <color theme="1"/>
        <rFont val="Calibri"/>
        <family val="2"/>
      </rPr>
      <t>45 bronze</t>
    </r>
  </si>
  <si>
    <r>
      <rPr>
        <sz val="11"/>
        <color theme="1"/>
        <rFont val="Calibri"/>
        <family val="2"/>
      </rPr>
      <t>45 bronse</t>
    </r>
  </si>
  <si>
    <t>45 bronza</t>
  </si>
  <si>
    <t>47 patina grau</t>
  </si>
  <si>
    <t>47 patina grey</t>
  </si>
  <si>
    <t>47 gris quartz</t>
  </si>
  <si>
    <t>47 patina grigio</t>
  </si>
  <si>
    <t>47 patina šedá</t>
  </si>
  <si>
    <t>47 szara patyna</t>
  </si>
  <si>
    <t>47 patinaszürke</t>
  </si>
  <si>
    <r>
      <rPr>
        <sz val="11"/>
        <color theme="1"/>
        <rFont val="Calibri"/>
        <family val="2"/>
      </rPr>
      <t>47 patinagrijs</t>
    </r>
  </si>
  <si>
    <r>
      <rPr>
        <sz val="11"/>
        <color theme="1"/>
        <rFont val="Calibri"/>
        <family val="2"/>
      </rPr>
      <t>47 patina grå</t>
    </r>
  </si>
  <si>
    <r>
      <rPr>
        <sz val="11"/>
        <color theme="1"/>
        <rFont val="Calibri"/>
        <family val="2"/>
      </rPr>
      <t>47 patinagrå</t>
    </r>
  </si>
  <si>
    <t>47 patina siva</t>
  </si>
  <si>
    <t>Abbildung</t>
  </si>
  <si>
    <t>Picture</t>
  </si>
  <si>
    <t>Illustration</t>
  </si>
  <si>
    <t>Figura</t>
  </si>
  <si>
    <t>Produkt</t>
  </si>
  <si>
    <t xml:space="preserve">Zdjęcie </t>
  </si>
  <si>
    <t>ábra</t>
  </si>
  <si>
    <r>
      <rPr>
        <sz val="11"/>
        <color theme="1"/>
        <rFont val="Calibri"/>
        <family val="2"/>
      </rPr>
      <t>Afbeelding</t>
    </r>
  </si>
  <si>
    <t>fotografija</t>
  </si>
  <si>
    <r>
      <rPr>
        <sz val="11"/>
        <color theme="1"/>
        <rFont val="Calibri"/>
        <family val="2"/>
      </rPr>
      <t>Bild</t>
    </r>
  </si>
  <si>
    <r>
      <rPr>
        <sz val="11"/>
        <color theme="1"/>
        <rFont val="Calibri"/>
        <family val="2"/>
      </rPr>
      <t>Illustration</t>
    </r>
  </si>
  <si>
    <r>
      <rPr>
        <sz val="11"/>
        <color theme="1"/>
        <rFont val="Calibri"/>
        <family val="2"/>
      </rPr>
      <t>Illustrasjon</t>
    </r>
  </si>
  <si>
    <t>Prikaz</t>
  </si>
  <si>
    <t>Ansprechpartner:</t>
  </si>
  <si>
    <t>Contact:</t>
  </si>
  <si>
    <t>Interlocuteur :</t>
  </si>
  <si>
    <t>Referente:</t>
  </si>
  <si>
    <t>Kontakt:</t>
  </si>
  <si>
    <t>Kapcsolattartó:</t>
  </si>
  <si>
    <r>
      <rPr>
        <sz val="11"/>
        <color theme="1"/>
        <rFont val="Calibri"/>
        <family val="2"/>
      </rPr>
      <t>Contactpersoon:</t>
    </r>
  </si>
  <si>
    <t>Kontaktna oseba</t>
  </si>
  <si>
    <r>
      <rPr>
        <sz val="11"/>
        <color theme="1"/>
        <rFont val="Calibri"/>
        <family val="2"/>
      </rPr>
      <t>Kontaktperson:</t>
    </r>
  </si>
  <si>
    <t>Kontakt osoba:</t>
  </si>
  <si>
    <t>Anwendungstechnik</t>
  </si>
  <si>
    <t>Application technology</t>
  </si>
  <si>
    <t>Service technique</t>
  </si>
  <si>
    <t>Ufficio Tecnico</t>
  </si>
  <si>
    <t>Technické oddělení</t>
  </si>
  <si>
    <t>Technologia aplikacji</t>
  </si>
  <si>
    <t>Alkalmazástechnika</t>
  </si>
  <si>
    <t>Technické oddelenie</t>
  </si>
  <si>
    <r>
      <rPr>
        <sz val="11"/>
        <color theme="1"/>
        <rFont val="Arial"/>
        <family val="2"/>
      </rPr>
      <t>Toepassingstechniek</t>
    </r>
  </si>
  <si>
    <t>Tehnika</t>
  </si>
  <si>
    <r>
      <rPr>
        <sz val="11"/>
        <color theme="1"/>
        <rFont val="Arial"/>
        <family val="2"/>
      </rPr>
      <t>Användningsteknik</t>
    </r>
  </si>
  <si>
    <r>
      <rPr>
        <sz val="11"/>
        <color theme="1"/>
        <rFont val="Arial"/>
        <family val="2"/>
      </rPr>
      <t>Anvendelsesteknik</t>
    </r>
  </si>
  <si>
    <r>
      <rPr>
        <sz val="11"/>
        <color theme="1"/>
        <rFont val="Arial"/>
        <family val="2"/>
      </rPr>
      <t>Monteringsteknikk</t>
    </r>
  </si>
  <si>
    <t>Primjena</t>
  </si>
  <si>
    <t>Artikel Nr.</t>
  </si>
  <si>
    <t>Article no.</t>
  </si>
  <si>
    <t>Référence</t>
  </si>
  <si>
    <t>Articolo n.</t>
  </si>
  <si>
    <t>Objednací č.</t>
  </si>
  <si>
    <t>Artykuł nr</t>
  </si>
  <si>
    <t>Cikkszám</t>
  </si>
  <si>
    <t>Objednávací kód</t>
  </si>
  <si>
    <r>
      <rPr>
        <sz val="11"/>
        <color theme="1"/>
        <rFont val="Calibri"/>
        <family val="2"/>
      </rPr>
      <t>Artikelnr.</t>
    </r>
  </si>
  <si>
    <t>Člen št.</t>
  </si>
  <si>
    <r>
      <rPr>
        <sz val="11"/>
        <color theme="1"/>
        <rFont val="Calibri"/>
        <family val="2"/>
      </rPr>
      <t>Artikelnummer</t>
    </r>
  </si>
  <si>
    <r>
      <rPr>
        <sz val="11"/>
        <color theme="1"/>
        <rFont val="Calibri"/>
        <family val="2"/>
      </rPr>
      <t>Artikkelnr.</t>
    </r>
  </si>
  <si>
    <t>Artikl br.</t>
  </si>
  <si>
    <t>aus Oberfläche und</t>
  </si>
  <si>
    <t>surface and</t>
  </si>
  <si>
    <t>cette combinaison</t>
  </si>
  <si>
    <t>s povrchem a</t>
  </si>
  <si>
    <t>z powierzchnią i</t>
  </si>
  <si>
    <t>felület és</t>
  </si>
  <si>
    <t xml:space="preserve">s povrchom a </t>
  </si>
  <si>
    <r>
      <rPr>
        <sz val="11"/>
        <color theme="1"/>
        <rFont val="Calibri"/>
        <family val="2"/>
      </rPr>
      <t>uit oppervlakte en</t>
    </r>
  </si>
  <si>
    <r>
      <rPr>
        <sz val="11"/>
        <color theme="1"/>
        <rFont val="Calibri"/>
        <family val="2"/>
      </rPr>
      <t>från ytan och</t>
    </r>
  </si>
  <si>
    <r>
      <rPr>
        <sz val="11"/>
        <color theme="1"/>
        <rFont val="Calibri"/>
        <family val="2"/>
      </rPr>
      <t>af overflade og</t>
    </r>
  </si>
  <si>
    <r>
      <rPr>
        <sz val="11"/>
        <color theme="1"/>
        <rFont val="Calibri"/>
        <family val="2"/>
      </rPr>
      <t>som overflate og</t>
    </r>
  </si>
  <si>
    <t xml:space="preserve">iz površine i </t>
  </si>
  <si>
    <t>Bauvorhaben:</t>
  </si>
  <si>
    <t>Building project:</t>
  </si>
  <si>
    <t>Projet:</t>
  </si>
  <si>
    <t>Progetto:</t>
  </si>
  <si>
    <t>Objekt</t>
  </si>
  <si>
    <t>Nazwa projektu</t>
  </si>
  <si>
    <t>projekt:</t>
  </si>
  <si>
    <r>
      <rPr>
        <sz val="11"/>
        <color theme="1"/>
        <rFont val="Calibri"/>
        <family val="2"/>
      </rPr>
      <t>bouwplan:</t>
    </r>
  </si>
  <si>
    <r>
      <rPr>
        <sz val="11"/>
        <color theme="1"/>
        <rFont val="Calibri"/>
        <family val="2"/>
      </rPr>
      <t>Byggprojekt:</t>
    </r>
  </si>
  <si>
    <r>
      <rPr>
        <sz val="11"/>
        <color theme="1"/>
        <rFont val="Calibri"/>
        <family val="2"/>
      </rPr>
      <t>Byggeri:</t>
    </r>
  </si>
  <si>
    <r>
      <rPr>
        <sz val="11"/>
        <color theme="1"/>
        <rFont val="Calibri"/>
        <family val="2"/>
      </rPr>
      <t>Byggeprosjekt:</t>
    </r>
  </si>
  <si>
    <t>Objekt:</t>
  </si>
  <si>
    <t>Befestigungsmittel Siding - Aluminium UK 4,8 x 19 mm</t>
  </si>
  <si>
    <t>Fastener for sidings – aluminium substructure 4,8 × 19 mm</t>
  </si>
  <si>
    <t>Matériel de fixation pour siding – sous-construction aluminium 4,8 × 19 mm</t>
  </si>
  <si>
    <t>materiale di fissaggio doga – sottostruttura in alluminio 4,8 × 19 mm</t>
  </si>
  <si>
    <t>Kotvící prvky Siding- hliníková spodní konstrukce 4,8 x 19 mm</t>
  </si>
  <si>
    <t>Wkręt Siding-podkonstrukcja aluminiowa 4,8 x 19 mm</t>
  </si>
  <si>
    <t>Kötőanyag Siding - alumínium alátétszerkezet 4,8 x 19 mm</t>
  </si>
  <si>
    <t xml:space="preserve">Upevňovacia skrutka pre Siding do hliníkového nosného roštu 4,8 x 19 mm </t>
  </si>
  <si>
    <r>
      <rPr>
        <sz val="11"/>
        <color theme="1"/>
        <rFont val="Calibri"/>
        <family val="2"/>
      </rPr>
      <t>Bevestigingsmiddel Siding - aluminium UK 4,8 x 19 mm</t>
    </r>
  </si>
  <si>
    <r>
      <rPr>
        <sz val="11"/>
        <color theme="1"/>
        <rFont val="Calibri"/>
        <family val="2"/>
      </rPr>
      <t>Fästmedel fasadpanel - aluminium UK 4,8 x 19 mm</t>
    </r>
  </si>
  <si>
    <r>
      <rPr>
        <sz val="11"/>
        <color theme="1"/>
        <rFont val="Calibri"/>
        <family val="2"/>
      </rPr>
      <t>Fastgørelsesmidler siding - aluminiumsunderkonstruktion 4,8 x 19 mm</t>
    </r>
  </si>
  <si>
    <r>
      <rPr>
        <sz val="11"/>
        <color theme="1"/>
        <rFont val="Calibri"/>
        <family val="2"/>
      </rPr>
      <t>Festemiddel kledning - aluminium UK 4,8 x 19 mm</t>
    </r>
  </si>
  <si>
    <t>Pričvrsni materijal Siding - aluminij UK 4,8 x 19 mm</t>
  </si>
  <si>
    <t>Befestigungsmittel Siding - Holz UK 4,9 x 35 mm</t>
  </si>
  <si>
    <t>Fastener for sidings – wood substructure 4,9 × 35 mm</t>
  </si>
  <si>
    <t>Matériel de fixation pour siding – sous-construction bois 4,9 × 35 mm</t>
  </si>
  <si>
    <t>materiale di fissaggio doga – sottostruttura in legno 4,9 × 35 mm</t>
  </si>
  <si>
    <t>Kotvící prvky Siding- dřevěná spodní konstrukce 4,9 x 35 mm</t>
  </si>
  <si>
    <t>Wkręt Siding-podkonstrukcja drewniana 4,9 x 35 mm</t>
  </si>
  <si>
    <t>Kötőanyag Siding - fa alátétszerkezet 4,9 x 35 mm</t>
  </si>
  <si>
    <t xml:space="preserve">Upevňovacia skrutka pre Siding do dreveného nosného roštu 4,9 x 35 mm </t>
  </si>
  <si>
    <t>Bevestigingsmiddel Siding - hout UK 4,9 x 35 mm</t>
  </si>
  <si>
    <t>Fästmedel fasadpanel - trä UK 4,9 x 35 mm</t>
  </si>
  <si>
    <t>Fastgørelsesmidler siding - træunderkonstruktion 4,9 x 35 mm</t>
  </si>
  <si>
    <t>Festemiddel kledning - tre UK 4,9 x 35 mm</t>
  </si>
  <si>
    <t>Pričvrsni materijal Siding - drvo UK 4,9 x 35 mm</t>
  </si>
  <si>
    <t>Bestellung</t>
  </si>
  <si>
    <t>Order</t>
  </si>
  <si>
    <t>Commande</t>
  </si>
  <si>
    <t>Ordine</t>
  </si>
  <si>
    <t>Objednávka</t>
  </si>
  <si>
    <t xml:space="preserve">Zamówienie </t>
  </si>
  <si>
    <t>megrendelés</t>
  </si>
  <si>
    <r>
      <rPr>
        <sz val="11"/>
        <rFont val="Slimbach LT"/>
      </rPr>
      <t>Bestelling</t>
    </r>
  </si>
  <si>
    <t>naročilo</t>
  </si>
  <si>
    <r>
      <rPr>
        <sz val="11"/>
        <rFont val="Slimbach LT"/>
      </rPr>
      <t>Beställning</t>
    </r>
  </si>
  <si>
    <r>
      <rPr>
        <sz val="11"/>
        <rFont val="Slimbach LT"/>
      </rPr>
      <t>Bestilling</t>
    </r>
  </si>
  <si>
    <t>Narudžba</t>
  </si>
  <si>
    <t>Bezeichnung</t>
  </si>
  <si>
    <t>Name</t>
  </si>
  <si>
    <t>Désignation</t>
  </si>
  <si>
    <t>Descrizione</t>
  </si>
  <si>
    <t>Označení</t>
  </si>
  <si>
    <t>Nazwa</t>
  </si>
  <si>
    <t>megnevezés</t>
  </si>
  <si>
    <t>Označenie</t>
  </si>
  <si>
    <r>
      <rPr>
        <sz val="11"/>
        <color theme="1"/>
        <rFont val="Calibri"/>
        <family val="2"/>
      </rPr>
      <t>Benaming</t>
    </r>
  </si>
  <si>
    <t>opis</t>
  </si>
  <si>
    <r>
      <rPr>
        <sz val="11"/>
        <color theme="1"/>
        <rFont val="Calibri"/>
        <family val="2"/>
      </rPr>
      <t>Beteckning</t>
    </r>
  </si>
  <si>
    <r>
      <rPr>
        <sz val="11"/>
        <color theme="1"/>
        <rFont val="Calibri"/>
        <family val="2"/>
      </rPr>
      <t>Betegnelse</t>
    </r>
  </si>
  <si>
    <t>Opis</t>
  </si>
  <si>
    <t>Clip notwendig!</t>
  </si>
  <si>
    <t>Clip required!</t>
  </si>
  <si>
    <t>Clip requis !</t>
  </si>
  <si>
    <t>Richiesta clip!</t>
  </si>
  <si>
    <t>Nutno použít Clip</t>
  </si>
  <si>
    <t>Klips konieczny!</t>
  </si>
  <si>
    <t>Viharkapocs szükséges!</t>
  </si>
  <si>
    <t>Nutné použiť antivibračnú svorku!</t>
  </si>
  <si>
    <r>
      <rPr>
        <sz val="11"/>
        <color theme="1"/>
        <rFont val="Calibri"/>
        <family val="2"/>
      </rPr>
      <t>Clip noodzakelijk!</t>
    </r>
  </si>
  <si>
    <r>
      <rPr>
        <sz val="11"/>
        <color theme="1"/>
        <rFont val="Calibri"/>
        <family val="2"/>
      </rPr>
      <t>Clips nödvändigt!</t>
    </r>
  </si>
  <si>
    <r>
      <rPr>
        <sz val="11"/>
        <color theme="1"/>
        <rFont val="Calibri"/>
        <family val="2"/>
      </rPr>
      <t>Klips nødvendig!</t>
    </r>
  </si>
  <si>
    <t>Clip potreban!</t>
  </si>
  <si>
    <t>Datum:</t>
  </si>
  <si>
    <t>Date:</t>
  </si>
  <si>
    <t>Date :</t>
  </si>
  <si>
    <t>Data:</t>
  </si>
  <si>
    <t>Dátum:</t>
  </si>
  <si>
    <r>
      <rPr>
        <sz val="11"/>
        <color theme="1"/>
        <rFont val="Calibri"/>
        <family val="2"/>
      </rPr>
      <t>Datum:</t>
    </r>
  </si>
  <si>
    <t>datum</t>
  </si>
  <si>
    <r>
      <rPr>
        <sz val="11"/>
        <color theme="1"/>
        <rFont val="Calibri"/>
        <family val="2"/>
      </rPr>
      <t>Dato:</t>
    </r>
  </si>
  <si>
    <t>available for this</t>
  </si>
  <si>
    <t>utile disponible pour</t>
  </si>
  <si>
    <t>Těchto kombinací</t>
  </si>
  <si>
    <t>ta kombinacja</t>
  </si>
  <si>
    <t>ez a kombináció</t>
  </si>
  <si>
    <t>Tieto kombinácie</t>
  </si>
  <si>
    <r>
      <rPr>
        <sz val="11"/>
        <color theme="1"/>
        <rFont val="Calibri"/>
        <family val="2"/>
      </rPr>
      <t>deze combinatie</t>
    </r>
  </si>
  <si>
    <r>
      <rPr>
        <sz val="11"/>
        <color theme="1"/>
        <rFont val="Calibri"/>
        <family val="2"/>
      </rPr>
      <t>denna kombination</t>
    </r>
  </si>
  <si>
    <r>
      <rPr>
        <sz val="11"/>
        <color theme="1"/>
        <rFont val="Calibri"/>
        <family val="2"/>
      </rPr>
      <t>denne kombination</t>
    </r>
  </si>
  <si>
    <r>
      <rPr>
        <sz val="11"/>
        <color theme="1"/>
        <rFont val="Calibri"/>
        <family val="2"/>
      </rPr>
      <t>denne kombinasjonen</t>
    </r>
  </si>
  <si>
    <t>ova kombinacija</t>
  </si>
  <si>
    <t>Dimension:</t>
  </si>
  <si>
    <t>Dimensions :</t>
  </si>
  <si>
    <t>Dimensioni:</t>
  </si>
  <si>
    <t>Dimenze</t>
  </si>
  <si>
    <t>Wymiar:</t>
  </si>
  <si>
    <t>méretek:</t>
  </si>
  <si>
    <t>Dimenzia</t>
  </si>
  <si>
    <r>
      <rPr>
        <sz val="11"/>
        <color theme="1"/>
        <rFont val="Calibri"/>
        <family val="2"/>
      </rPr>
      <t>Dimensie:</t>
    </r>
  </si>
  <si>
    <r>
      <rPr>
        <sz val="11"/>
        <color theme="1"/>
        <rFont val="Calibri"/>
        <family val="2"/>
      </rPr>
      <t>Mått:</t>
    </r>
  </si>
  <si>
    <r>
      <rPr>
        <sz val="11"/>
        <color theme="1"/>
        <rFont val="Calibri"/>
        <family val="2"/>
      </rPr>
      <t>Dimension:</t>
    </r>
  </si>
  <si>
    <r>
      <rPr>
        <sz val="11"/>
        <color theme="1"/>
        <rFont val="Calibri"/>
        <family val="2"/>
      </rPr>
      <t>Dimensjon:</t>
    </r>
  </si>
  <si>
    <t>Dimenzije:</t>
  </si>
  <si>
    <t>Einheit</t>
  </si>
  <si>
    <t>Unit</t>
  </si>
  <si>
    <t>Unité</t>
  </si>
  <si>
    <t>UDM</t>
  </si>
  <si>
    <t>Jednotka</t>
  </si>
  <si>
    <t>Jednostka</t>
  </si>
  <si>
    <t>egység</t>
  </si>
  <si>
    <r>
      <rPr>
        <sz val="11"/>
        <color theme="1"/>
        <rFont val="Calibri"/>
        <family val="2"/>
      </rPr>
      <t>Eenheid</t>
    </r>
  </si>
  <si>
    <t>enota</t>
  </si>
  <si>
    <r>
      <rPr>
        <sz val="11"/>
        <color theme="1"/>
        <rFont val="Calibri"/>
        <family val="2"/>
      </rPr>
      <t>Enhet</t>
    </r>
  </si>
  <si>
    <r>
      <rPr>
        <sz val="11"/>
        <color theme="1"/>
        <rFont val="Calibri"/>
        <family val="2"/>
      </rPr>
      <t>Enhed</t>
    </r>
  </si>
  <si>
    <t>Jedinica mjere</t>
  </si>
  <si>
    <t>eMail:</t>
  </si>
  <si>
    <t>Email:</t>
  </si>
  <si>
    <t>Courriel :</t>
  </si>
  <si>
    <t>email:</t>
  </si>
  <si>
    <t>e-mail:</t>
  </si>
  <si>
    <r>
      <rPr>
        <sz val="11"/>
        <color theme="1"/>
        <rFont val="Calibri"/>
        <family val="2"/>
      </rPr>
      <t>E-mail:</t>
    </r>
  </si>
  <si>
    <t>email</t>
  </si>
  <si>
    <r>
      <rPr>
        <sz val="11"/>
        <color theme="1"/>
        <rFont val="Calibri"/>
        <family val="2"/>
      </rPr>
      <t>E-post:</t>
    </r>
  </si>
  <si>
    <t>Empfehlung</t>
  </si>
  <si>
    <t>Recommendation</t>
  </si>
  <si>
    <t>Recommandation</t>
  </si>
  <si>
    <t>Raccomandazione</t>
  </si>
  <si>
    <t>Doporučení</t>
  </si>
  <si>
    <t>zalecenie</t>
  </si>
  <si>
    <t>javaslat</t>
  </si>
  <si>
    <t>Odporučenie</t>
  </si>
  <si>
    <r>
      <rPr>
        <sz val="11"/>
        <color theme="1"/>
        <rFont val="Calibri"/>
        <family val="2"/>
      </rPr>
      <t>Advies</t>
    </r>
  </si>
  <si>
    <r>
      <rPr>
        <sz val="11"/>
        <color theme="1"/>
        <rFont val="Calibri"/>
        <family val="2"/>
      </rPr>
      <t>Rekommendation</t>
    </r>
  </si>
  <si>
    <r>
      <rPr>
        <sz val="11"/>
        <color theme="1"/>
        <rFont val="Calibri"/>
        <family val="2"/>
      </rPr>
      <t>Anbefaling</t>
    </r>
  </si>
  <si>
    <t>Preporuka</t>
  </si>
  <si>
    <t>Endabkantung:</t>
  </si>
  <si>
    <t>Edge downstand:</t>
  </si>
  <si>
    <t>Pliure de rebord :</t>
  </si>
  <si>
    <t>Testata ripiegata:</t>
  </si>
  <si>
    <t>Ohranění</t>
  </si>
  <si>
    <t>zagięcie końcowe</t>
  </si>
  <si>
    <t>végek lezárása</t>
  </si>
  <si>
    <t>Koncový ohyb</t>
  </si>
  <si>
    <r>
      <rPr>
        <sz val="11"/>
        <color theme="1"/>
        <rFont val="Calibri"/>
        <family val="2"/>
      </rPr>
      <t>Eindafkanting</t>
    </r>
  </si>
  <si>
    <r>
      <rPr>
        <sz val="11"/>
        <color theme="1"/>
        <rFont val="Calibri"/>
        <family val="2"/>
      </rPr>
      <t>Ändavkantning:</t>
    </r>
  </si>
  <si>
    <r>
      <rPr>
        <sz val="11"/>
        <color theme="1"/>
        <rFont val="Calibri"/>
        <family val="2"/>
      </rPr>
      <t>Endekant:</t>
    </r>
  </si>
  <si>
    <r>
      <rPr>
        <sz val="11"/>
        <color theme="1"/>
        <rFont val="Calibri"/>
        <family val="2"/>
      </rPr>
      <t>Endefals:</t>
    </r>
  </si>
  <si>
    <t>Završno kantiranje</t>
  </si>
  <si>
    <t>Enden 11 mm abgekantet:</t>
  </si>
  <si>
    <t>Ends canted by 11 mm:</t>
  </si>
  <si>
    <t>Rebord plié sur 11 mm :</t>
  </si>
  <si>
    <t>Testate ripiegate di 11 mm:</t>
  </si>
  <si>
    <t>Konce ohraněny 11 mm</t>
  </si>
  <si>
    <t>zakończenia podgięte 11 mm</t>
  </si>
  <si>
    <t>végek 11 mm lezárással</t>
  </si>
  <si>
    <t>Koncový ohyb 11 mm</t>
  </si>
  <si>
    <r>
      <rPr>
        <sz val="11"/>
        <color theme="1"/>
        <rFont val="Calibri"/>
        <family val="2"/>
      </rPr>
      <t>Einden 11 mm afgekant:</t>
    </r>
  </si>
  <si>
    <r>
      <rPr>
        <sz val="11"/>
        <color theme="1"/>
        <rFont val="Calibri"/>
        <family val="2"/>
      </rPr>
      <t>Ändarna avkantade 11 mm:</t>
    </r>
  </si>
  <si>
    <r>
      <rPr>
        <sz val="11"/>
        <color theme="1"/>
        <rFont val="Calibri"/>
        <family val="2"/>
      </rPr>
      <t>Ender kantet 11 mm:</t>
    </r>
  </si>
  <si>
    <r>
      <rPr>
        <sz val="11"/>
        <color theme="1"/>
        <rFont val="Calibri"/>
        <family val="2"/>
      </rPr>
      <t>Ender med 11 mm fals:</t>
    </r>
  </si>
  <si>
    <t>Završeci 11 mm kantirani</t>
  </si>
  <si>
    <t>Ergänzungsband</t>
  </si>
  <si>
    <t>Flashing strip</t>
  </si>
  <si>
    <t>bande complémentaire</t>
  </si>
  <si>
    <t>nastro per lattonerie</t>
  </si>
  <si>
    <t>Doplňkový svitkový plech</t>
  </si>
  <si>
    <t>taśma uzupełniająca</t>
  </si>
  <si>
    <t>kiegészítő szalag</t>
  </si>
  <si>
    <t>Doplnkový pás</t>
  </si>
  <si>
    <r>
      <rPr>
        <sz val="11"/>
        <color theme="1"/>
        <rFont val="Calibri"/>
        <family val="2"/>
      </rPr>
      <t>Aanvullingsband</t>
    </r>
  </si>
  <si>
    <r>
      <rPr>
        <sz val="11"/>
        <color theme="1"/>
        <rFont val="Calibri"/>
        <family val="2"/>
      </rPr>
      <t>Extrabeslag</t>
    </r>
  </si>
  <si>
    <r>
      <rPr>
        <sz val="11"/>
        <color theme="1"/>
        <rFont val="Calibri"/>
        <family val="2"/>
      </rPr>
      <t>Suppleringsbånd</t>
    </r>
  </si>
  <si>
    <t>Traka za dopunu</t>
  </si>
  <si>
    <t>Farbe möglich</t>
  </si>
  <si>
    <t>colour combination.</t>
  </si>
  <si>
    <t>de surface et de</t>
  </si>
  <si>
    <t>v této barvě není možné</t>
  </si>
  <si>
    <t>kolor niedostępny</t>
  </si>
  <si>
    <t>szín nem lehetséges</t>
  </si>
  <si>
    <t>v tejto farbe nie je možné</t>
  </si>
  <si>
    <r>
      <rPr>
        <sz val="11"/>
        <color theme="1"/>
        <rFont val="Calibri"/>
        <family val="2"/>
      </rPr>
      <t>Kleur mogelijk</t>
    </r>
  </si>
  <si>
    <r>
      <rPr>
        <sz val="11"/>
        <color theme="1"/>
        <rFont val="Calibri"/>
        <family val="2"/>
      </rPr>
      <t>Färg möjlig</t>
    </r>
  </si>
  <si>
    <r>
      <rPr>
        <sz val="11"/>
        <color theme="1"/>
        <rFont val="Calibri"/>
        <family val="2"/>
      </rPr>
      <t>Farve mulig</t>
    </r>
  </si>
  <si>
    <r>
      <rPr>
        <sz val="11"/>
        <color theme="1"/>
        <rFont val="Calibri"/>
        <family val="2"/>
      </rPr>
      <t>Farge mulig</t>
    </r>
  </si>
  <si>
    <t>Moguća boja</t>
  </si>
  <si>
    <t>Farbe:</t>
  </si>
  <si>
    <t>Colour:</t>
  </si>
  <si>
    <t>Couleur :</t>
  </si>
  <si>
    <t>Colore:</t>
  </si>
  <si>
    <t>Barva:</t>
  </si>
  <si>
    <t>Kolor:</t>
  </si>
  <si>
    <t>Szín:</t>
  </si>
  <si>
    <t>Farba:</t>
  </si>
  <si>
    <r>
      <rPr>
        <sz val="11"/>
        <color theme="1"/>
        <rFont val="Calibri"/>
        <family val="2"/>
      </rPr>
      <t>Kleur:</t>
    </r>
  </si>
  <si>
    <t>barva:</t>
  </si>
  <si>
    <r>
      <rPr>
        <sz val="11"/>
        <color theme="1"/>
        <rFont val="Calibri"/>
        <family val="2"/>
      </rPr>
      <t>Färg:</t>
    </r>
  </si>
  <si>
    <r>
      <rPr>
        <sz val="11"/>
        <color theme="1"/>
        <rFont val="Calibri"/>
        <family val="2"/>
      </rPr>
      <t>Farve:</t>
    </r>
  </si>
  <si>
    <r>
      <rPr>
        <sz val="11"/>
        <color theme="1"/>
        <rFont val="Calibri"/>
        <family val="2"/>
      </rPr>
      <t>Farge:</t>
    </r>
  </si>
  <si>
    <t>Boja:</t>
  </si>
  <si>
    <t>Firma / Besteller:</t>
  </si>
  <si>
    <t>Company / Purchaser:</t>
  </si>
  <si>
    <t>Entreprise / Acheteur :</t>
  </si>
  <si>
    <t>Installatore / Committente:</t>
  </si>
  <si>
    <t>Firma / objednávající:</t>
  </si>
  <si>
    <t>Firma zamawiająca:</t>
  </si>
  <si>
    <t>Cég / megrendelő:</t>
  </si>
  <si>
    <t>Firma / objednávateľ:</t>
  </si>
  <si>
    <r>
      <rPr>
        <sz val="11"/>
        <color theme="1"/>
        <rFont val="Calibri"/>
        <family val="2"/>
      </rPr>
      <t>Bedrijf/besteller:</t>
    </r>
  </si>
  <si>
    <t>podjetje/naročnik</t>
  </si>
  <si>
    <r>
      <rPr>
        <sz val="11"/>
        <color theme="1"/>
        <rFont val="Calibri"/>
        <family val="2"/>
      </rPr>
      <t>Företag/beställare:</t>
    </r>
  </si>
  <si>
    <r>
      <rPr>
        <sz val="11"/>
        <color theme="1"/>
        <rFont val="Calibri"/>
        <family val="2"/>
      </rPr>
      <t>Firma / Bestiller:</t>
    </r>
  </si>
  <si>
    <r>
      <rPr>
        <sz val="11"/>
        <color theme="1"/>
        <rFont val="Calibri"/>
        <family val="2"/>
      </rPr>
      <t>Firma/bestiller:</t>
    </r>
  </si>
  <si>
    <t>Poduzeće / Naručioc</t>
  </si>
  <si>
    <t>Folie:</t>
  </si>
  <si>
    <t>Film:</t>
  </si>
  <si>
    <t>Feuille de protection :</t>
  </si>
  <si>
    <t>Pellicola di protezione:</t>
  </si>
  <si>
    <t>folia:</t>
  </si>
  <si>
    <t>fólia:</t>
  </si>
  <si>
    <t>Fólia</t>
  </si>
  <si>
    <r>
      <rPr>
        <sz val="11"/>
        <color theme="1"/>
        <rFont val="Calibri"/>
        <family val="2"/>
      </rPr>
      <t>Folie:</t>
    </r>
  </si>
  <si>
    <t>Folija:</t>
  </si>
  <si>
    <t>Fuge:</t>
  </si>
  <si>
    <t>Joint:</t>
  </si>
  <si>
    <t>Jointure :</t>
  </si>
  <si>
    <t>Fuga:</t>
  </si>
  <si>
    <t>Spára:</t>
  </si>
  <si>
    <t>Fuga</t>
  </si>
  <si>
    <t>fuga:</t>
  </si>
  <si>
    <t>Škára</t>
  </si>
  <si>
    <r>
      <rPr>
        <sz val="11"/>
        <color theme="1"/>
        <rFont val="Calibri"/>
        <family val="2"/>
      </rPr>
      <t>Voeg:</t>
    </r>
  </si>
  <si>
    <r>
      <rPr>
        <sz val="11"/>
        <color theme="1"/>
        <rFont val="Calibri"/>
        <family val="2"/>
      </rPr>
      <t>Fog:</t>
    </r>
  </si>
  <si>
    <r>
      <rPr>
        <sz val="11"/>
        <color theme="1"/>
        <rFont val="Calibri"/>
        <family val="2"/>
      </rPr>
      <t>Fuge:</t>
    </r>
  </si>
  <si>
    <t>smooth</t>
  </si>
  <si>
    <t>lisse</t>
  </si>
  <si>
    <t>liscia</t>
  </si>
  <si>
    <t>hladký</t>
  </si>
  <si>
    <t>gładki</t>
  </si>
  <si>
    <t>sima</t>
  </si>
  <si>
    <t>Hladký</t>
  </si>
  <si>
    <r>
      <rPr>
        <sz val="11"/>
        <color theme="1"/>
        <rFont val="Calibri"/>
        <family val="2"/>
      </rPr>
      <t>glad</t>
    </r>
  </si>
  <si>
    <t>gladka</t>
  </si>
  <si>
    <r>
      <rPr>
        <sz val="11"/>
        <color theme="1"/>
        <rFont val="Calibri"/>
        <family val="2"/>
      </rPr>
      <t>slät</t>
    </r>
  </si>
  <si>
    <r>
      <rPr>
        <sz val="11"/>
        <color theme="1"/>
        <rFont val="Calibri"/>
        <family val="2"/>
      </rPr>
      <t>glat</t>
    </r>
  </si>
  <si>
    <r>
      <rPr>
        <sz val="11"/>
        <color theme="1"/>
        <rFont val="Calibri"/>
        <family val="2"/>
      </rPr>
      <t>glatt</t>
    </r>
  </si>
  <si>
    <t>glat</t>
  </si>
  <si>
    <t>ja</t>
  </si>
  <si>
    <t>yes</t>
  </si>
  <si>
    <t>oui</t>
  </si>
  <si>
    <t>sì</t>
  </si>
  <si>
    <t>Ano</t>
  </si>
  <si>
    <t>tak</t>
  </si>
  <si>
    <t>igen</t>
  </si>
  <si>
    <t>Áno</t>
  </si>
  <si>
    <r>
      <rPr>
        <sz val="11"/>
        <color theme="1"/>
        <rFont val="Calibri"/>
        <family val="2"/>
      </rPr>
      <t>ja</t>
    </r>
  </si>
  <si>
    <r>
      <rPr>
        <sz val="11"/>
        <color theme="1"/>
        <rFont val="Calibri"/>
        <family val="2"/>
      </rPr>
      <t>Ja</t>
    </r>
  </si>
  <si>
    <t>da</t>
  </si>
  <si>
    <t>Karton</t>
  </si>
  <si>
    <t>box</t>
  </si>
  <si>
    <t>carton</t>
  </si>
  <si>
    <t>Cartone</t>
  </si>
  <si>
    <t>Krabice</t>
  </si>
  <si>
    <t>Opakowanie</t>
  </si>
  <si>
    <t>doboz</t>
  </si>
  <si>
    <t>Krabica</t>
  </si>
  <si>
    <r>
      <rPr>
        <sz val="11"/>
        <color theme="1"/>
        <rFont val="Calibri"/>
        <family val="2"/>
      </rPr>
      <t>Doos</t>
    </r>
  </si>
  <si>
    <t>škatla</t>
  </si>
  <si>
    <r>
      <rPr>
        <sz val="11"/>
        <color theme="1"/>
        <rFont val="Calibri"/>
        <family val="2"/>
      </rPr>
      <t>Kartong</t>
    </r>
  </si>
  <si>
    <r>
      <rPr>
        <sz val="11"/>
        <color theme="1"/>
        <rFont val="Calibri"/>
        <family val="2"/>
      </rPr>
      <t>Karton</t>
    </r>
  </si>
  <si>
    <t>Keine Baubreiten mit</t>
  </si>
  <si>
    <t>No visible width</t>
  </si>
  <si>
    <t>Aucune largeur</t>
  </si>
  <si>
    <t>Non disponibili larghezze utili con questa combinazione di superficie e colore</t>
  </si>
  <si>
    <t xml:space="preserve"> Žádné stavební šířky s</t>
  </si>
  <si>
    <t>brak szerokości z</t>
  </si>
  <si>
    <t>nincs ilyen szélesség</t>
  </si>
  <si>
    <t>Táto šírka nie je k dispozícii</t>
  </si>
  <si>
    <r>
      <rPr>
        <sz val="11"/>
        <color theme="1"/>
        <rFont val="Calibri"/>
        <family val="2"/>
      </rPr>
      <t>Geen bouwbreedtes met</t>
    </r>
  </si>
  <si>
    <r>
      <rPr>
        <sz val="11"/>
        <color theme="1"/>
        <rFont val="Calibri"/>
        <family val="2"/>
      </rPr>
      <t>Inga byggbredder med</t>
    </r>
  </si>
  <si>
    <r>
      <rPr>
        <sz val="11"/>
        <color theme="1"/>
        <rFont val="Calibri"/>
        <family val="2"/>
      </rPr>
      <t>Ingen byggebreder med</t>
    </r>
  </si>
  <si>
    <r>
      <rPr>
        <sz val="11"/>
        <color theme="1"/>
        <rFont val="Calibri"/>
        <family val="2"/>
      </rPr>
      <t>Ingen bredder med</t>
    </r>
  </si>
  <si>
    <t>Širine bez</t>
  </si>
  <si>
    <t>kg</t>
  </si>
  <si>
    <r>
      <rPr>
        <sz val="11"/>
        <color theme="1"/>
        <rFont val="Calibri"/>
        <family val="2"/>
      </rPr>
      <t>kg</t>
    </r>
  </si>
  <si>
    <r>
      <rPr>
        <sz val="11"/>
        <color theme="1"/>
        <rFont val="Calibri"/>
        <family val="2"/>
      </rPr>
      <t>kg/m²</t>
    </r>
  </si>
  <si>
    <t>Länge</t>
  </si>
  <si>
    <t>length</t>
  </si>
  <si>
    <t>Longueur</t>
  </si>
  <si>
    <t>lunghezza</t>
  </si>
  <si>
    <t>Délka:</t>
  </si>
  <si>
    <t>długość</t>
  </si>
  <si>
    <t>hossz</t>
  </si>
  <si>
    <t>Dĺžka</t>
  </si>
  <si>
    <r>
      <rPr>
        <sz val="11"/>
        <color theme="1"/>
        <rFont val="Calibri"/>
        <family val="2"/>
      </rPr>
      <t>Lengte</t>
    </r>
  </si>
  <si>
    <r>
      <rPr>
        <sz val="11"/>
        <color theme="1"/>
        <rFont val="Calibri"/>
        <family val="2"/>
      </rPr>
      <t>Längd</t>
    </r>
  </si>
  <si>
    <r>
      <rPr>
        <sz val="11"/>
        <color theme="1"/>
        <rFont val="Calibri"/>
        <family val="2"/>
      </rPr>
      <t>Længde</t>
    </r>
  </si>
  <si>
    <r>
      <rPr>
        <sz val="11"/>
        <color theme="1"/>
        <rFont val="Calibri"/>
        <family val="2"/>
      </rPr>
      <t>Lengde</t>
    </r>
  </si>
  <si>
    <t>Dužina</t>
  </si>
  <si>
    <t>lfm</t>
  </si>
  <si>
    <t>m</t>
  </si>
  <si>
    <t>ml</t>
  </si>
  <si>
    <t>bm</t>
  </si>
  <si>
    <t>mb</t>
  </si>
  <si>
    <t>fm</t>
  </si>
  <si>
    <r>
      <rPr>
        <sz val="11"/>
        <color theme="1"/>
        <rFont val="Calibri"/>
        <family val="2"/>
      </rPr>
      <t>m</t>
    </r>
    <r>
      <rPr>
        <vertAlign val="superscript"/>
        <sz val="11"/>
        <color theme="1"/>
        <rFont val="Calibri"/>
        <family val="2"/>
      </rPr>
      <t>1</t>
    </r>
  </si>
  <si>
    <t>tekoči meter</t>
  </si>
  <si>
    <r>
      <rPr>
        <sz val="11"/>
        <color theme="1"/>
        <rFont val="Calibri"/>
        <family val="2"/>
      </rPr>
      <t>lpm</t>
    </r>
  </si>
  <si>
    <r>
      <rPr>
        <sz val="11"/>
        <color theme="1"/>
        <rFont val="Calibri"/>
        <family val="2"/>
      </rPr>
      <t>lbm</t>
    </r>
  </si>
  <si>
    <r>
      <rPr>
        <sz val="11"/>
        <color theme="1"/>
        <rFont val="Calibri"/>
        <family val="2"/>
      </rPr>
      <t>lm</t>
    </r>
  </si>
  <si>
    <t>Lieferadresse:</t>
  </si>
  <si>
    <t>Delivery address:</t>
  </si>
  <si>
    <t>Adresse de livraison :</t>
  </si>
  <si>
    <t>Indirizzo di consegna:</t>
  </si>
  <si>
    <t>Dodací adresa:</t>
  </si>
  <si>
    <t>Adres dostawy:</t>
  </si>
  <si>
    <t>Szállítási cím:</t>
  </si>
  <si>
    <t>Dodacia adresa:</t>
  </si>
  <si>
    <r>
      <rPr>
        <sz val="11"/>
        <color theme="1"/>
        <rFont val="Calibri"/>
        <family val="2"/>
      </rPr>
      <t>Leveringsadres:</t>
    </r>
  </si>
  <si>
    <t>naslov za dostavo</t>
  </si>
  <si>
    <r>
      <rPr>
        <sz val="11"/>
        <color theme="1"/>
        <rFont val="Calibri"/>
        <family val="2"/>
      </rPr>
      <t>Leveransadress:</t>
    </r>
  </si>
  <si>
    <r>
      <rPr>
        <sz val="11"/>
        <color theme="1"/>
        <rFont val="Calibri"/>
        <family val="2"/>
      </rPr>
      <t>Leveringsadresse:</t>
    </r>
  </si>
  <si>
    <t>Adresa isporuke:</t>
  </si>
  <si>
    <t>lined</t>
  </si>
  <si>
    <t>ligné</t>
  </si>
  <si>
    <t>rigato</t>
  </si>
  <si>
    <t>linkovaný</t>
  </si>
  <si>
    <t>w linie</t>
  </si>
  <si>
    <t>mikrobordás</t>
  </si>
  <si>
    <t>čiarovaný</t>
  </si>
  <si>
    <r>
      <rPr>
        <sz val="11"/>
        <color theme="1"/>
        <rFont val="Calibri"/>
        <family val="2"/>
      </rPr>
      <t>gelinieerd</t>
    </r>
  </si>
  <si>
    <r>
      <rPr>
        <sz val="11"/>
        <color theme="1"/>
        <rFont val="Calibri"/>
        <family val="2"/>
      </rPr>
      <t>linjerad</t>
    </r>
  </si>
  <si>
    <r>
      <rPr>
        <sz val="11"/>
        <color theme="1"/>
        <rFont val="Calibri"/>
        <family val="2"/>
      </rPr>
      <t>linjeret</t>
    </r>
  </si>
  <si>
    <r>
      <rPr>
        <sz val="11"/>
        <color theme="1"/>
        <rFont val="Calibri"/>
        <family val="2"/>
      </rPr>
      <t>med linjer</t>
    </r>
  </si>
  <si>
    <t>linirano</t>
  </si>
  <si>
    <r>
      <rPr>
        <sz val="11"/>
        <color theme="1"/>
        <rFont val="Calibri"/>
        <family val="2"/>
      </rPr>
      <t>m²</t>
    </r>
  </si>
  <si>
    <t>Menge</t>
  </si>
  <si>
    <t>Quantity</t>
  </si>
  <si>
    <t>Quantité</t>
  </si>
  <si>
    <t>Quantità</t>
  </si>
  <si>
    <t>Množství</t>
  </si>
  <si>
    <t>Ilość</t>
  </si>
  <si>
    <t>Mennyiségi egység:</t>
  </si>
  <si>
    <t>Množstvo</t>
  </si>
  <si>
    <r>
      <rPr>
        <sz val="11"/>
        <color theme="1"/>
        <rFont val="Calibri"/>
        <family val="2"/>
      </rPr>
      <t>Aantal</t>
    </r>
  </si>
  <si>
    <t>Količina v :</t>
  </si>
  <si>
    <r>
      <rPr>
        <sz val="11"/>
        <color theme="1"/>
        <rFont val="Calibri"/>
        <family val="2"/>
      </rPr>
      <t>Mängd</t>
    </r>
  </si>
  <si>
    <r>
      <rPr>
        <sz val="11"/>
        <color theme="1"/>
        <rFont val="Calibri"/>
        <family val="2"/>
      </rPr>
      <t>Mængde</t>
    </r>
  </si>
  <si>
    <r>
      <rPr>
        <sz val="11"/>
        <color theme="1"/>
        <rFont val="Calibri"/>
        <family val="2"/>
      </rPr>
      <t>Mengde</t>
    </r>
  </si>
  <si>
    <t>Količina</t>
  </si>
  <si>
    <t>Mengenermittlung/Anfrage</t>
  </si>
  <si>
    <t>Quantity evaluation / enquiry</t>
  </si>
  <si>
    <t>Question / Quantités requises</t>
  </si>
  <si>
    <t>Distinta materiali/Richiesta offerta</t>
  </si>
  <si>
    <t>Výpis materiálu/poptávka</t>
  </si>
  <si>
    <t>Zapytanie ilościowe:</t>
  </si>
  <si>
    <t>mennyiségszámítás / árajánlatkérés</t>
  </si>
  <si>
    <t>Výpis materiálu / dopyt</t>
  </si>
  <si>
    <r>
      <rPr>
        <sz val="11"/>
        <rFont val="Slimbach LT"/>
      </rPr>
      <t>Aantallen/aanvraag</t>
    </r>
  </si>
  <si>
    <t>Ocenitev količine/povpraševanje</t>
  </si>
  <si>
    <r>
      <rPr>
        <sz val="11"/>
        <rFont val="Slimbach LT"/>
      </rPr>
      <t>Mängdberäkning/vid förfrågan</t>
    </r>
  </si>
  <si>
    <r>
      <rPr>
        <sz val="11"/>
        <rFont val="Slimbach LT"/>
      </rPr>
      <t>Mængdeundersøgelse/Forespørgsel</t>
    </r>
  </si>
  <si>
    <r>
      <rPr>
        <sz val="11"/>
        <rFont val="Slimbach LT"/>
      </rPr>
      <t>Mengdeberegning/forespørsel</t>
    </r>
  </si>
  <si>
    <t>Određivanje količine/na upit</t>
  </si>
  <si>
    <t>Name:</t>
  </si>
  <si>
    <t>Nom :</t>
  </si>
  <si>
    <t>Nome:</t>
  </si>
  <si>
    <t>Jméno:</t>
  </si>
  <si>
    <t>Nazwa:</t>
  </si>
  <si>
    <t>Név:</t>
  </si>
  <si>
    <t>Meno:</t>
  </si>
  <si>
    <r>
      <rPr>
        <sz val="11"/>
        <color theme="1"/>
        <rFont val="Calibri"/>
        <family val="2"/>
      </rPr>
      <t>Naam:</t>
    </r>
  </si>
  <si>
    <t>ime</t>
  </si>
  <si>
    <r>
      <rPr>
        <sz val="11"/>
        <color theme="1"/>
        <rFont val="Calibri"/>
        <family val="2"/>
      </rPr>
      <t>Namn:</t>
    </r>
  </si>
  <si>
    <r>
      <rPr>
        <sz val="11"/>
        <color theme="1"/>
        <rFont val="Calibri"/>
        <family val="2"/>
      </rPr>
      <t>Navn:</t>
    </r>
  </si>
  <si>
    <t>Ime:</t>
  </si>
  <si>
    <t>nein</t>
  </si>
  <si>
    <t>no</t>
  </si>
  <si>
    <t>non</t>
  </si>
  <si>
    <t>Ne</t>
  </si>
  <si>
    <t>nie</t>
  </si>
  <si>
    <t>nem</t>
  </si>
  <si>
    <t>Nie</t>
  </si>
  <si>
    <r>
      <rPr>
        <sz val="11"/>
        <color theme="1"/>
        <rFont val="Calibri"/>
        <family val="2"/>
      </rPr>
      <t>nee</t>
    </r>
  </si>
  <si>
    <r>
      <rPr>
        <sz val="11"/>
        <color theme="1"/>
        <rFont val="Calibri"/>
        <family val="2"/>
      </rPr>
      <t>Nej</t>
    </r>
  </si>
  <si>
    <r>
      <rPr>
        <sz val="11"/>
        <color theme="1"/>
        <rFont val="Calibri"/>
        <family val="2"/>
      </rPr>
      <t>nej</t>
    </r>
  </si>
  <si>
    <r>
      <rPr>
        <sz val="11"/>
        <color theme="1"/>
        <rFont val="Calibri"/>
        <family val="2"/>
      </rPr>
      <t>nei</t>
    </r>
  </si>
  <si>
    <t>ne</t>
  </si>
  <si>
    <t>Nur mit Endabkantung und Schattenfuge möglich</t>
  </si>
  <si>
    <t>Only feasible with edge downstand and shadow gap</t>
  </si>
  <si>
    <t>Réalisable uniquement avec pliure de rebord et joint creux</t>
  </si>
  <si>
    <t>Disponibile solo con bordi ripiegati e fuga</t>
  </si>
  <si>
    <t>Možné pouze s ohraněním a spárou</t>
  </si>
  <si>
    <t>możliwe tylko z podgięciem końcowym i fugą</t>
  </si>
  <si>
    <t>Csak véglezárással és árnyékfugával rendelhető</t>
  </si>
  <si>
    <t>Je možné len s koncovým ohybom a škárou</t>
  </si>
  <si>
    <r>
      <rPr>
        <sz val="11"/>
        <color theme="1"/>
        <rFont val="Calibri"/>
        <family val="2"/>
      </rPr>
      <t>Alleen met eindafkanting en schaduwvoeg mogelijk</t>
    </r>
  </si>
  <si>
    <r>
      <rPr>
        <sz val="11"/>
        <color theme="1"/>
        <rFont val="Calibri"/>
        <family val="2"/>
      </rPr>
      <t>Endast möjligt med ändavkantning och skuggfog</t>
    </r>
  </si>
  <si>
    <r>
      <rPr>
        <sz val="11"/>
        <color theme="1"/>
        <rFont val="Calibri"/>
        <family val="2"/>
      </rPr>
      <t>Kun muligt med endekant og skyggefuge</t>
    </r>
  </si>
  <si>
    <r>
      <rPr>
        <sz val="11"/>
        <color theme="1"/>
        <rFont val="Calibri"/>
        <family val="2"/>
      </rPr>
      <t>Kun mulig med endefals og skyggefuge</t>
    </r>
  </si>
  <si>
    <t>Moguće samo sa završnim kantiranjem i naglašenom fugom</t>
  </si>
  <si>
    <t>Oberfläche:</t>
  </si>
  <si>
    <t>Surface:</t>
  </si>
  <si>
    <t>Surface :</t>
  </si>
  <si>
    <t>Finitura superficiale:</t>
  </si>
  <si>
    <t>Povrchová úprava:</t>
  </si>
  <si>
    <t>Powierzchna:</t>
  </si>
  <si>
    <t>Felület:</t>
  </si>
  <si>
    <r>
      <rPr>
        <sz val="11"/>
        <color theme="1"/>
        <rFont val="Calibri"/>
        <family val="2"/>
      </rPr>
      <t>Oppervlak:</t>
    </r>
  </si>
  <si>
    <t>površinska obdelava</t>
  </si>
  <si>
    <r>
      <rPr>
        <sz val="11"/>
        <color theme="1"/>
        <rFont val="Calibri"/>
        <family val="2"/>
      </rPr>
      <t>Ytbeläggning:</t>
    </r>
  </si>
  <si>
    <r>
      <rPr>
        <sz val="11"/>
        <color theme="1"/>
        <rFont val="Calibri"/>
        <family val="2"/>
      </rPr>
      <t>Overflade:</t>
    </r>
  </si>
  <si>
    <r>
      <rPr>
        <sz val="11"/>
        <color theme="1"/>
        <rFont val="Calibri"/>
        <family val="2"/>
      </rPr>
      <t>Overflate:</t>
    </r>
  </si>
  <si>
    <t>Površina:</t>
  </si>
  <si>
    <t>ODER EMAIL:</t>
  </si>
  <si>
    <t>OR EMAIL:</t>
  </si>
  <si>
    <t>OU PAR COURRIEL :</t>
  </si>
  <si>
    <t>O PER EMAIL:</t>
  </si>
  <si>
    <t>nebo e-mailem</t>
  </si>
  <si>
    <t>Adres EMAIL:</t>
  </si>
  <si>
    <t>VÁLASZ-EMAIL:</t>
  </si>
  <si>
    <t>ALEBO EMAILOM:</t>
  </si>
  <si>
    <r>
      <rPr>
        <sz val="11"/>
        <color theme="1"/>
        <rFont val="Calibri"/>
        <family val="2"/>
      </rPr>
      <t>OF E-MAIL:</t>
    </r>
  </si>
  <si>
    <t>ali email</t>
  </si>
  <si>
    <r>
      <rPr>
        <sz val="11"/>
        <color theme="1"/>
        <rFont val="Calibri"/>
        <family val="2"/>
      </rPr>
      <t>ELLER E-POST:</t>
    </r>
  </si>
  <si>
    <r>
      <rPr>
        <sz val="11"/>
        <color theme="1"/>
        <rFont val="Calibri"/>
        <family val="2"/>
      </rPr>
      <t>ELLER E-MAIL:</t>
    </r>
  </si>
  <si>
    <t>ILI MAIL:</t>
  </si>
  <si>
    <t>Plz + Ort:</t>
  </si>
  <si>
    <t>Town, postcode:</t>
  </si>
  <si>
    <t>Code postal + ville :</t>
  </si>
  <si>
    <t>CAP + città</t>
  </si>
  <si>
    <t>PSČ + Obec:</t>
  </si>
  <si>
    <t>Kod pocztowy + miejscowość</t>
  </si>
  <si>
    <t>IRSZ + helység</t>
  </si>
  <si>
    <t>PSČ + Obec</t>
  </si>
  <si>
    <r>
      <rPr>
        <sz val="11"/>
        <color theme="1"/>
        <rFont val="Calibri"/>
        <family val="2"/>
      </rPr>
      <t>Postcode + plaats:</t>
    </r>
  </si>
  <si>
    <r>
      <rPr>
        <sz val="11"/>
        <color theme="1"/>
        <rFont val="Calibri"/>
        <family val="2"/>
      </rPr>
      <t>Postnummer/ort:</t>
    </r>
  </si>
  <si>
    <r>
      <rPr>
        <sz val="11"/>
        <color theme="1"/>
        <rFont val="Calibri"/>
        <family val="2"/>
      </rPr>
      <t>Postnr. + by:</t>
    </r>
  </si>
  <si>
    <r>
      <rPr>
        <sz val="11"/>
        <color theme="1"/>
        <rFont val="Calibri"/>
        <family val="2"/>
      </rPr>
      <t>Postnr./-sted:</t>
    </r>
  </si>
  <si>
    <t xml:space="preserve">Poštanski broj + Mjesto </t>
  </si>
  <si>
    <t>Pos</t>
  </si>
  <si>
    <t>Item</t>
  </si>
  <si>
    <t>N°</t>
  </si>
  <si>
    <t>Voce</t>
  </si>
  <si>
    <t>Pozice</t>
  </si>
  <si>
    <t>pozycja</t>
  </si>
  <si>
    <t>Ssz</t>
  </si>
  <si>
    <t>Pozícia</t>
  </si>
  <si>
    <r>
      <rPr>
        <sz val="11"/>
        <color theme="1"/>
        <rFont val="Calibri"/>
        <family val="2"/>
      </rPr>
      <t>Pos.</t>
    </r>
  </si>
  <si>
    <r>
      <rPr>
        <sz val="11"/>
        <color theme="1"/>
        <rFont val="Calibri"/>
        <family val="2"/>
      </rPr>
      <t>Pos</t>
    </r>
  </si>
  <si>
    <t>Poz</t>
  </si>
  <si>
    <t>PREFA Abschlussprofil L = 2.500 mm</t>
  </si>
  <si>
    <t>PREFA closing profile; L = 2,500 mm</t>
  </si>
  <si>
    <t>profil de fin ; L = 2 500 mm</t>
  </si>
  <si>
    <t>profilo di chiusura; L = 2500 mm</t>
  </si>
  <si>
    <t>PREFA ukončovací profil,  délka 2500 mm</t>
  </si>
  <si>
    <t>PREFA Profil końcowy L=2500 mm</t>
  </si>
  <si>
    <t>PREFA lezáró profil H = 2.500 mm</t>
  </si>
  <si>
    <t>PREFA ukončovací profil, dĺžka 2500 mm</t>
  </si>
  <si>
    <r>
      <rPr>
        <sz val="11"/>
        <color theme="1"/>
        <rFont val="Calibri"/>
        <family val="2"/>
      </rPr>
      <t>PREFA afsluitprofiel L = 2500 mm</t>
    </r>
  </si>
  <si>
    <r>
      <rPr>
        <sz val="11"/>
        <color theme="1"/>
        <rFont val="Calibri"/>
        <family val="2"/>
      </rPr>
      <t>PREFA ändprofil L = 2.500 mm</t>
    </r>
  </si>
  <si>
    <r>
      <rPr>
        <sz val="11"/>
        <color theme="1"/>
        <rFont val="Calibri"/>
        <family val="2"/>
      </rPr>
      <t>PREFA afslutningsprofil L = 2.500 mm</t>
    </r>
  </si>
  <si>
    <r>
      <rPr>
        <sz val="11"/>
        <color theme="1"/>
        <rFont val="Calibri"/>
        <family val="2"/>
      </rPr>
      <t>PREFA avslutningsprofil L = 2500 mm</t>
    </r>
  </si>
  <si>
    <t>PREFA Završni profil L = 2.500 mm</t>
  </si>
  <si>
    <t>PREFA Aussenecke 2-teilig L = 2.000 mm</t>
  </si>
  <si>
    <t>PREFA protruding corner (2 elements); L = 2,000 mm</t>
  </si>
  <si>
    <t>profil d’angle sortant en croix ; L=2 000 mm</t>
  </si>
  <si>
    <t>angolo esterno (2 parti); L = 2000 mm</t>
  </si>
  <si>
    <t>PREFA roh vnější 2 - dílný</t>
  </si>
  <si>
    <t>PREFA Narożnik zewnętrzny 2-częściowy L=2000 mm</t>
  </si>
  <si>
    <t>PREFA külső sarok profil 2-részes H = 2.000 mm</t>
  </si>
  <si>
    <t>PREFA rohový profil 2 - dielny</t>
  </si>
  <si>
    <r>
      <rPr>
        <sz val="11"/>
        <color theme="1"/>
        <rFont val="Calibri"/>
        <family val="2"/>
      </rPr>
      <t>PREFA buitenhoek 2-delig L = 2000 mm</t>
    </r>
  </si>
  <si>
    <r>
      <rPr>
        <sz val="11"/>
        <color theme="1"/>
        <rFont val="Calibri"/>
        <family val="2"/>
      </rPr>
      <t>PREFA utvändigt hörn 2-delad L = 2.000 mm</t>
    </r>
  </si>
  <si>
    <r>
      <rPr>
        <sz val="11"/>
        <color theme="1"/>
        <rFont val="Calibri"/>
        <family val="2"/>
      </rPr>
      <t>PREFA udvendigt hjørne 2-delt L = 2.000 mm</t>
    </r>
  </si>
  <si>
    <r>
      <rPr>
        <sz val="11"/>
        <color theme="1"/>
        <rFont val="Calibri"/>
        <family val="2"/>
      </rPr>
      <t>PREFA yttervinkel 2-delt L = 2000 mm</t>
    </r>
  </si>
  <si>
    <t>PREFA Vanjski kut 2-dijelni L = 2.000 mm</t>
  </si>
  <si>
    <t>PREFA Eckwinkel Außen L = 2.500 mm</t>
  </si>
  <si>
    <t>PREFA external corner flashing; L = 2,500 mm</t>
  </si>
  <si>
    <t>équerre d’angle sortant ; L = 2 500 mm</t>
  </si>
  <si>
    <t>angolare esterno; L = 2500 mm</t>
  </si>
  <si>
    <t>PREFA roh vnější , délka 2500 mm</t>
  </si>
  <si>
    <t>PREFA Narożnik zewnętrzny L=2500 mm</t>
  </si>
  <si>
    <t>PREFA külső sarok profil H = 2.500 mm</t>
  </si>
  <si>
    <t>PREFA rohový profil, dĺžka 2500 mm</t>
  </si>
  <si>
    <r>
      <rPr>
        <sz val="11"/>
        <color theme="1"/>
        <rFont val="Calibri"/>
        <family val="2"/>
      </rPr>
      <t>PREFA hoek buiten L = 2500 mm</t>
    </r>
  </si>
  <si>
    <r>
      <rPr>
        <sz val="11"/>
        <color theme="1"/>
        <rFont val="Calibri"/>
        <family val="2"/>
      </rPr>
      <t>PREFA utvändig hörnvinkel L = 2.500 mm</t>
    </r>
  </si>
  <si>
    <r>
      <rPr>
        <sz val="11"/>
        <color theme="1"/>
        <rFont val="Calibri"/>
        <family val="2"/>
      </rPr>
      <t>PREFA hjørnevinkel udvendig L = 2.500 mm</t>
    </r>
  </si>
  <si>
    <r>
      <rPr>
        <sz val="11"/>
        <color theme="1"/>
        <rFont val="Calibri"/>
        <family val="2"/>
      </rPr>
      <t>PREFA utvendig hjørnevinkel L = 2500 mm</t>
    </r>
  </si>
  <si>
    <t>PREFA Kut vanjski L = 2.500 mm</t>
  </si>
  <si>
    <t>PREFA FASSADENSYSTEME</t>
  </si>
  <si>
    <t>PREFA FAÇADE SYSTEMS</t>
  </si>
  <si>
    <t>FAÇADES PREFA</t>
  </si>
  <si>
    <t>SISTEMI PER FACCIATA</t>
  </si>
  <si>
    <t>PREFA fasádní systémy</t>
  </si>
  <si>
    <t>PREFA SYSTEMY FASADOWE</t>
  </si>
  <si>
    <t>PREFA  HOMLOKZATBURKOLATI RENDSZEREK</t>
  </si>
  <si>
    <t>PREFA fasádne systémy</t>
  </si>
  <si>
    <r>
      <rPr>
        <sz val="11"/>
        <color theme="1"/>
        <rFont val="Calibri"/>
        <family val="2"/>
      </rPr>
      <t>PREFA GEVELSYSTEMEN</t>
    </r>
  </si>
  <si>
    <r>
      <rPr>
        <sz val="11"/>
        <color theme="1"/>
        <rFont val="Calibri"/>
        <family val="2"/>
      </rPr>
      <t>PREFA FASADSYSTEM</t>
    </r>
  </si>
  <si>
    <r>
      <rPr>
        <sz val="11"/>
        <color theme="1"/>
        <rFont val="Calibri"/>
        <family val="2"/>
      </rPr>
      <t>PREFA FACADESYSTEMER</t>
    </r>
  </si>
  <si>
    <r>
      <rPr>
        <sz val="11"/>
        <color theme="1"/>
        <rFont val="Calibri"/>
        <family val="2"/>
      </rPr>
      <t>PREFA FASADESYSTEMER</t>
    </r>
  </si>
  <si>
    <t>PREFA FASADNI SISTEMI</t>
  </si>
  <si>
    <t>PREFA Fuge.138</t>
  </si>
  <si>
    <t>PREFA joint.138</t>
  </si>
  <si>
    <t>jointure.138</t>
  </si>
  <si>
    <t>fuga.138</t>
  </si>
  <si>
    <t>PREFA spára 138 mm</t>
  </si>
  <si>
    <t>PREFA Fuga.138</t>
  </si>
  <si>
    <t>PREFA fuga.138</t>
  </si>
  <si>
    <t>PREFA škára 138 mm</t>
  </si>
  <si>
    <r>
      <rPr>
        <sz val="11"/>
        <color theme="1"/>
        <rFont val="Calibri"/>
        <family val="2"/>
      </rPr>
      <t>PREFA voeg.138</t>
    </r>
  </si>
  <si>
    <r>
      <rPr>
        <sz val="11"/>
        <color theme="1"/>
        <rFont val="Calibri"/>
        <family val="2"/>
      </rPr>
      <t>PREFA Fog.138</t>
    </r>
  </si>
  <si>
    <r>
      <rPr>
        <sz val="11"/>
        <color theme="1"/>
        <rFont val="Calibri"/>
        <family val="2"/>
      </rPr>
      <t>PREFA Fuge.138</t>
    </r>
  </si>
  <si>
    <t>PREFA Fuge.200</t>
  </si>
  <si>
    <t>PREFA joint.200</t>
  </si>
  <si>
    <t>jointure.200</t>
  </si>
  <si>
    <t>fuga.200</t>
  </si>
  <si>
    <t>PREFA spára 200 mm</t>
  </si>
  <si>
    <t>PREFA Fuga.200</t>
  </si>
  <si>
    <t>PREFA fuga.200</t>
  </si>
  <si>
    <t>PREFA škára 200 mm</t>
  </si>
  <si>
    <r>
      <rPr>
        <sz val="11"/>
        <color theme="1"/>
        <rFont val="Calibri"/>
        <family val="2"/>
      </rPr>
      <t>PREFA voeg.200</t>
    </r>
  </si>
  <si>
    <r>
      <rPr>
        <sz val="11"/>
        <color theme="1"/>
        <rFont val="Calibri"/>
        <family val="2"/>
      </rPr>
      <t>PREFA Fog.200</t>
    </r>
  </si>
  <si>
    <r>
      <rPr>
        <sz val="11"/>
        <color theme="1"/>
        <rFont val="Calibri"/>
        <family val="2"/>
      </rPr>
      <t>PREFA Fuge.200</t>
    </r>
  </si>
  <si>
    <t>PREFA Fuge.300</t>
  </si>
  <si>
    <t>PREFA joint.300</t>
  </si>
  <si>
    <t>jointure.300</t>
  </si>
  <si>
    <t>fuga.300</t>
  </si>
  <si>
    <t>PREFA spára 300 mm</t>
  </si>
  <si>
    <t>PREFA Fuga.300</t>
  </si>
  <si>
    <t>PREFA fuga.300</t>
  </si>
  <si>
    <t>PREFA škára 300 mm</t>
  </si>
  <si>
    <r>
      <rPr>
        <sz val="11"/>
        <color theme="1"/>
        <rFont val="Calibri"/>
        <family val="2"/>
      </rPr>
      <t>PREFA voeg.300</t>
    </r>
  </si>
  <si>
    <r>
      <rPr>
        <sz val="11"/>
        <color theme="1"/>
        <rFont val="Calibri"/>
        <family val="2"/>
      </rPr>
      <t>PREFA Fog.300</t>
    </r>
  </si>
  <si>
    <r>
      <rPr>
        <sz val="11"/>
        <color theme="1"/>
        <rFont val="Calibri"/>
        <family val="2"/>
      </rPr>
      <t>PREFA Fuge.300</t>
    </r>
  </si>
  <si>
    <t>PREFA Fuge.400</t>
  </si>
  <si>
    <t>PREFA joint.400</t>
  </si>
  <si>
    <t>jointure.400</t>
  </si>
  <si>
    <t>fuga.400</t>
  </si>
  <si>
    <t>PREFA spára 400 mm</t>
  </si>
  <si>
    <t>PREFA Fuga.400</t>
  </si>
  <si>
    <t>PREFA fuga.400</t>
  </si>
  <si>
    <t>PREFA škára 400 mm</t>
  </si>
  <si>
    <r>
      <rPr>
        <sz val="11"/>
        <color theme="1"/>
        <rFont val="Calibri"/>
        <family val="2"/>
      </rPr>
      <t>PREFA voeg.400</t>
    </r>
  </si>
  <si>
    <r>
      <rPr>
        <sz val="11"/>
        <color theme="1"/>
        <rFont val="Calibri"/>
        <family val="2"/>
      </rPr>
      <t>PREFA Fog.400</t>
    </r>
  </si>
  <si>
    <r>
      <rPr>
        <sz val="11"/>
        <color theme="1"/>
        <rFont val="Calibri"/>
        <family val="2"/>
      </rPr>
      <t>PREFA Fuge.400</t>
    </r>
  </si>
  <si>
    <t>PREFA Innenecke L = 2.000 mm</t>
  </si>
  <si>
    <t>PREFA recessed corner; L = 2,000 mm</t>
  </si>
  <si>
    <t>angle rentrant ; L = 2 000 mm</t>
  </si>
  <si>
    <t>angolo interno; L = 2000 mm</t>
  </si>
  <si>
    <t>PREFA vnitřní roh, délka 2000 mm</t>
  </si>
  <si>
    <t>PREFA Narożnik wewnętrzny L=2000 mm</t>
  </si>
  <si>
    <t>PREFA belső sarok profil H = 2.000 mm</t>
  </si>
  <si>
    <t>PREFA kútový profil, dĺžka 2500 mm</t>
  </si>
  <si>
    <r>
      <rPr>
        <sz val="11"/>
        <color theme="1"/>
        <rFont val="Calibri"/>
        <family val="2"/>
      </rPr>
      <t>PREFA binnenhoek L = 2000 mm</t>
    </r>
  </si>
  <si>
    <r>
      <rPr>
        <sz val="11"/>
        <color theme="1"/>
        <rFont val="Calibri"/>
        <family val="2"/>
      </rPr>
      <t>PREFA invändigt hörn L = 2.000 mm</t>
    </r>
  </si>
  <si>
    <r>
      <rPr>
        <sz val="11"/>
        <color theme="1"/>
        <rFont val="Calibri"/>
        <family val="2"/>
      </rPr>
      <t>PREFA indvendigt hjørne L = 2.000 mm</t>
    </r>
  </si>
  <si>
    <r>
      <rPr>
        <sz val="11"/>
        <color theme="1"/>
        <rFont val="Calibri"/>
        <family val="2"/>
      </rPr>
      <t>PREFA innvendig hjørne L = 2000 mm</t>
    </r>
  </si>
  <si>
    <t>PREFA Unutarnji kut L = 2.000 mm</t>
  </si>
  <si>
    <t>PREFA Leibungsblech L = 2.500 mm</t>
  </si>
  <si>
    <t>PREFA reveal flashing; L = 2,500 mm</t>
  </si>
  <si>
    <t>profil d’embrasure ; L = 2 500 mm</t>
  </si>
  <si>
    <t>stipite in lamiera; L = 2500 mm</t>
  </si>
  <si>
    <t>PREFA profil ostění, délka 2500 mm</t>
  </si>
  <si>
    <t>PREFA Oścież L=2500 mm</t>
  </si>
  <si>
    <t>PREFA ablakkáva profil H = 2.500 mm</t>
  </si>
  <si>
    <t>PREFA ostenie, dĺžka 2500 mm</t>
  </si>
  <si>
    <r>
      <rPr>
        <sz val="11"/>
        <color theme="1"/>
        <rFont val="Calibri"/>
        <family val="2"/>
      </rPr>
      <t>PREFA kozijnplaat L = 2500 mm</t>
    </r>
  </si>
  <si>
    <r>
      <rPr>
        <sz val="11"/>
        <color theme="1"/>
        <rFont val="Calibri"/>
        <family val="2"/>
      </rPr>
      <t>PREFA smygplåt L = 2.500 mm</t>
    </r>
  </si>
  <si>
    <r>
      <rPr>
        <sz val="11"/>
        <color theme="1"/>
        <rFont val="Calibri"/>
        <family val="2"/>
      </rPr>
      <t>PREFA lysningsplade L = 2.500 mm</t>
    </r>
  </si>
  <si>
    <r>
      <rPr>
        <sz val="11"/>
        <color theme="1"/>
        <rFont val="Calibri"/>
        <family val="2"/>
      </rPr>
      <t>PREFA smygplate L = 2500 mm</t>
    </r>
  </si>
  <si>
    <t>PREFA Limena špaleta L = 2.500 mm</t>
  </si>
  <si>
    <t>PREFA Montagehilfe Sturmsicherungsclip für Materialstärke 1,0mm</t>
  </si>
  <si>
    <t>PREFA storm-proof clip mounting aid 1,0 mm</t>
  </si>
  <si>
    <t>cale d’espacement pour clip tempête 1,0 mm</t>
  </si>
  <si>
    <t>dima di ausilio per montaggio della clip antivento (per spessore di 1,0 mm)</t>
  </si>
  <si>
    <t>PREFA montážní pomůcka pro clipsy 1,0 mm</t>
  </si>
  <si>
    <t>PREFA Przyrząd montażowy klipsu przeciwburzowego 1,0 mm</t>
  </si>
  <si>
    <t>PREFA viharkapocs rögzítőelem 1,0mm</t>
  </si>
  <si>
    <t>PREFA montážna pomôcka pre antivibračnú svorku 1,0 mm</t>
  </si>
  <si>
    <r>
      <rPr>
        <sz val="11"/>
        <color theme="1"/>
        <rFont val="Calibri"/>
        <family val="2"/>
      </rPr>
      <t>PREFA montagehulp stormborgingsclip voor materiaaldikte 1,0 mm</t>
    </r>
  </si>
  <si>
    <r>
      <rPr>
        <sz val="11"/>
        <color theme="1"/>
        <rFont val="Calibri"/>
        <family val="2"/>
      </rPr>
      <t>PREFA monteringshjälp stormsäkringsclips för materialtjocklek 1,0 mm</t>
    </r>
  </si>
  <si>
    <r>
      <rPr>
        <sz val="11"/>
        <color theme="1"/>
        <rFont val="Calibri"/>
        <family val="2"/>
      </rPr>
      <t>PREFA monteringshjælp stormsikringsklips til materialetykkelse 1,0 mm</t>
    </r>
  </si>
  <si>
    <r>
      <rPr>
        <sz val="11"/>
        <color theme="1"/>
        <rFont val="Calibri"/>
        <family val="2"/>
      </rPr>
      <t>PREFA monteringshjelp stormsikringsklips for materialtykkelse 1,0 mm</t>
    </r>
  </si>
  <si>
    <t>PREFA Pomoć kod montaže Sigurnosni clip držač kod nevremena za debljinu materijala 1,0mm</t>
  </si>
  <si>
    <t>PREFA Montagehilfe Sturmsicherungsclip für Materialstärke 1,2mm</t>
  </si>
  <si>
    <t>PREFA storm-proof clip mounting aid 1,2 mm</t>
  </si>
  <si>
    <t>cale d’espacement pour clip tempête 1,2 mm</t>
  </si>
  <si>
    <t>dima di ausilio per montaggio della clip antivento (per spessore di 1,2 mm)</t>
  </si>
  <si>
    <t>PREFA montážní pomůcka pro clipsy 1,2 mm</t>
  </si>
  <si>
    <t>PREFA Przyrząd montażowy klipsu przeciwburzowego 1,2 mm</t>
  </si>
  <si>
    <t>PREFA viharkapocs rögzítőelem 1,2mm</t>
  </si>
  <si>
    <t>PREFA montážna pomôcka pre antivibračnú svorku 1,2 mm</t>
  </si>
  <si>
    <r>
      <rPr>
        <sz val="11"/>
        <color theme="1"/>
        <rFont val="Calibri"/>
        <family val="2"/>
      </rPr>
      <t>PREFA montagehulp stormborgingsclip voor materiaaldikte 1,2 mm</t>
    </r>
  </si>
  <si>
    <r>
      <rPr>
        <sz val="11"/>
        <color theme="1"/>
        <rFont val="Calibri"/>
        <family val="2"/>
      </rPr>
      <t>PREFA monteringshjälp stormsäkringsclips för materialtjocklek 1,2 mm</t>
    </r>
  </si>
  <si>
    <r>
      <rPr>
        <sz val="11"/>
        <color theme="1"/>
        <rFont val="Calibri"/>
        <family val="2"/>
      </rPr>
      <t>PREFA monteringshjælp stormsikringsklips til materialetykkelse 1,2mm</t>
    </r>
  </si>
  <si>
    <r>
      <rPr>
        <sz val="11"/>
        <color theme="1"/>
        <rFont val="Calibri"/>
        <family val="2"/>
      </rPr>
      <t>PREFA monteringshjelp stormsikringsklips for materialtykkelse 1,2mm</t>
    </r>
  </si>
  <si>
    <t>PREFA Pomoć kod montaže Sigurnosni clip držač kod nevremena za debljinu materijala 1,2mm</t>
  </si>
  <si>
    <t>PREFA Montagelochabdeckung Ø 30 mm</t>
  </si>
  <si>
    <t>PREFA mounting hole cover Ø 30 mm</t>
  </si>
  <si>
    <t>cache-trou Ø 30 mm</t>
  </si>
  <si>
    <t>borchia tappabuchi Ø 30 mm</t>
  </si>
  <si>
    <t>PREFA montážní krytka Ø 30 mm</t>
  </si>
  <si>
    <t>PREFA Zaślepka ø 30 mm</t>
  </si>
  <si>
    <r>
      <t xml:space="preserve">PREFA lyuktakaró </t>
    </r>
    <r>
      <rPr>
        <sz val="11"/>
        <color theme="1"/>
        <rFont val="Calibri"/>
        <family val="2"/>
      </rPr>
      <t>ø 30 mm</t>
    </r>
  </si>
  <si>
    <t>PREFA montážna krytka  Ø 30 mm</t>
  </si>
  <si>
    <r>
      <rPr>
        <sz val="11"/>
        <color theme="1"/>
        <rFont val="Calibri"/>
        <family val="2"/>
      </rPr>
      <t>PREFA montagegatafdekking Ø 30 mm</t>
    </r>
  </si>
  <si>
    <r>
      <rPr>
        <sz val="11"/>
        <color theme="1"/>
        <rFont val="Calibri"/>
        <family val="2"/>
      </rPr>
      <t>PREFA monteringshålkåpa Ø 30 mm</t>
    </r>
  </si>
  <si>
    <r>
      <rPr>
        <sz val="11"/>
        <color theme="1"/>
        <rFont val="Calibri"/>
        <family val="2"/>
      </rPr>
      <t>PREFA monteringshulafdækning Ø 30 mm</t>
    </r>
  </si>
  <si>
    <r>
      <rPr>
        <sz val="11"/>
        <color theme="1"/>
        <rFont val="Calibri"/>
        <family val="2"/>
      </rPr>
      <t>PREFA monteringshulldeksel Ø 30 mm</t>
    </r>
  </si>
  <si>
    <t>PREFA Pokrov montažne rupe Ø 30 mm</t>
  </si>
  <si>
    <t>PREFA Patentnieten 4 x 9,5 mm</t>
  </si>
  <si>
    <t>PREFA patent rivets 4 × 10 mm</t>
  </si>
  <si>
    <t>rivets brevetés 4 × 10 mm</t>
  </si>
  <si>
    <t>rivetti 4 × 10 mm</t>
  </si>
  <si>
    <t>PREFA trhací nýt 4 x 10 mm</t>
  </si>
  <si>
    <t>PREFA Nit fasadowy 4x10 mm</t>
  </si>
  <si>
    <t>PREFA patentszegecs 4 10 mm</t>
  </si>
  <si>
    <t>PREFA trhací nit 4 x 10 mm</t>
  </si>
  <si>
    <r>
      <rPr>
        <sz val="11"/>
        <color theme="1"/>
        <rFont val="Calibri"/>
        <family val="2"/>
      </rPr>
      <t>PREFA gepatenteerde klinknagels 4 x 10 mm</t>
    </r>
  </si>
  <si>
    <r>
      <rPr>
        <sz val="11"/>
        <color theme="1"/>
        <rFont val="Calibri"/>
        <family val="2"/>
      </rPr>
      <t>PREFA patenterade nitar 4 x 10 mm</t>
    </r>
  </si>
  <si>
    <r>
      <rPr>
        <sz val="11"/>
        <color theme="1"/>
        <rFont val="Calibri"/>
        <family val="2"/>
      </rPr>
      <t>PREFA patentnitte 4 x 10 mm</t>
    </r>
  </si>
  <si>
    <r>
      <rPr>
        <sz val="11"/>
        <color theme="1"/>
        <rFont val="Calibri"/>
        <family val="2"/>
      </rPr>
      <t>PREFA patenterte nagler 4 x 10 mm</t>
    </r>
  </si>
  <si>
    <t>PREFA Zakovice 4 x 10 mm</t>
  </si>
  <si>
    <t>PREFA Schnittlochblende L = 2.500 mm</t>
  </si>
  <si>
    <t>PREFA perforated plate; L = 2,500 mm</t>
  </si>
  <si>
    <t>cache de départ perforé ; L = 2 500 mm</t>
  </si>
  <si>
    <t>canaletta di ventilazione; L = 2500 mm</t>
  </si>
  <si>
    <t>PREFA ukončovací profil perforovaný, délka 2500 mm</t>
  </si>
  <si>
    <t>PREFA Przysłona L=2500 mm</t>
  </si>
  <si>
    <t>PREFA szellőző profil H = 2.500 mm</t>
  </si>
  <si>
    <t>PREFA ukončovací profil perforovaný, dĺžka 2500 mm</t>
  </si>
  <si>
    <r>
      <rPr>
        <sz val="11"/>
        <color theme="1"/>
        <rFont val="Calibri"/>
        <family val="2"/>
      </rPr>
      <t>PREFA snijgatkap L = 2500 mm</t>
    </r>
  </si>
  <si>
    <r>
      <rPr>
        <sz val="11"/>
        <color theme="1"/>
        <rFont val="Calibri"/>
        <family val="2"/>
      </rPr>
      <t>PREFA sektionshålslist L = 2.500 mm</t>
    </r>
  </si>
  <si>
    <r>
      <rPr>
        <sz val="11"/>
        <color theme="1"/>
        <rFont val="Calibri"/>
        <family val="2"/>
      </rPr>
      <t>PREFA snithulsblænde L = 2.500 mm</t>
    </r>
  </si>
  <si>
    <r>
      <rPr>
        <sz val="11"/>
        <color theme="1"/>
        <rFont val="Calibri"/>
        <family val="2"/>
      </rPr>
      <t>PREFA perforert plate L = 2500 mm</t>
    </r>
  </si>
  <si>
    <t>PREFA Perforirana blenda L = 2.500 mm</t>
  </si>
  <si>
    <t>PREFA Sockelprofil L = 2.500 mm</t>
  </si>
  <si>
    <t>PREFA base profile; L = 2,500 mm</t>
  </si>
  <si>
    <t>profil de socle ; L = 2 500 mm</t>
  </si>
  <si>
    <t>zoccolo; L = 2500 mm</t>
  </si>
  <si>
    <t>PREFA soklový profil, délka 2500 mm</t>
  </si>
  <si>
    <t>PREFA Profil cokołowy L=2500 mm</t>
  </si>
  <si>
    <t>PREFA párkányprofil H = 2.500 mm</t>
  </si>
  <si>
    <t>PREFA soklový profil, dĺžka 2500 mm</t>
  </si>
  <si>
    <r>
      <rPr>
        <sz val="11"/>
        <color theme="1"/>
        <rFont val="Calibri"/>
        <family val="2"/>
      </rPr>
      <t>PREFA sokkelprofiel L = 2500 mm</t>
    </r>
  </si>
  <si>
    <r>
      <rPr>
        <sz val="11"/>
        <color theme="1"/>
        <rFont val="Calibri"/>
        <family val="2"/>
      </rPr>
      <t>PREFA sockelprofil L = 2.500 mm</t>
    </r>
  </si>
  <si>
    <r>
      <rPr>
        <sz val="11"/>
        <color theme="1"/>
        <rFont val="Calibri"/>
        <family val="2"/>
      </rPr>
      <t>PREFA sokkelprofil L = 2.500 mm</t>
    </r>
  </si>
  <si>
    <r>
      <rPr>
        <sz val="11"/>
        <color theme="1"/>
        <rFont val="Calibri"/>
        <family val="2"/>
      </rPr>
      <t>PREFA sokkelprofil L = 2500 mm</t>
    </r>
  </si>
  <si>
    <t>PREFA Profil sokla L = 2.500 mm</t>
  </si>
  <si>
    <t>PREFA Startprofil L = 2.000 mm</t>
  </si>
  <si>
    <t>PREFA starter profile; L = 2,000 mm</t>
  </si>
  <si>
    <t>profil de départ ; L = 2 000 mm</t>
  </si>
  <si>
    <t>profilo di partenza; L = 2000 mm</t>
  </si>
  <si>
    <t>PREFA startovací profil, délka 2000 mm</t>
  </si>
  <si>
    <t>PREFA Profil początkowy L=2000 mm</t>
  </si>
  <si>
    <t>PREFA indítóprofil H = 2.000 mm</t>
  </si>
  <si>
    <t>PREFA štartovací, vonkajší profil, dĺžka 2000 mm</t>
  </si>
  <si>
    <t>PREFA beginprofiel L = 2000 mm</t>
  </si>
  <si>
    <t>PREFA startprofil L = 2.000 mm</t>
  </si>
  <si>
    <t>PREFA startprofil L = 2000 mm</t>
  </si>
  <si>
    <t>PREFA Početni profil L = 2.000 mm</t>
  </si>
  <si>
    <t>PREFA Startprofil L = 2.000 mm P.10 anthrazit</t>
  </si>
  <si>
    <t>PREFA starter profile; L = 2,000 mm P.10 anthracite</t>
  </si>
  <si>
    <t>profil de départ ; L = 2 000 mm P.10 anthracite</t>
  </si>
  <si>
    <t>profilo di partenza; L = 2000 mm P.10 Antracite</t>
  </si>
  <si>
    <t>PREFA startovací profil, délka 2000 mm P.10 antracit</t>
  </si>
  <si>
    <t>PREFA Profil początkowy L=2000 mm P.10 antracytowy</t>
  </si>
  <si>
    <t>PREFA indítóprofil H = 2.000 mm P.10 antracit</t>
  </si>
  <si>
    <t>PREFA štartovací, vonkajší profil, dĺžka 2000 mm  P.10 antracitová</t>
  </si>
  <si>
    <t>PREFA beginprofiel L = 2000 mm P.10 antraciet</t>
  </si>
  <si>
    <t>PREFA startprofil L = 2.000 mm P.10 antracit</t>
  </si>
  <si>
    <t>PREFA startprofil L = 2.000 mm P.10 antrazit</t>
  </si>
  <si>
    <t>PREFA startprofil L = 2000 mm P.10 antrasitt</t>
  </si>
  <si>
    <t>PREFA Početni profil L = 2.000 mm P.10 antracit</t>
  </si>
  <si>
    <t>PREFA Steckleiste L = 2.000 mm</t>
  </si>
  <si>
    <t>PREFA insertion profile; L = 2,000 mm</t>
  </si>
  <si>
    <t>profil de jonction ; L = 2 000 mm</t>
  </si>
  <si>
    <t>listello a innesto; L = 2000 mm</t>
  </si>
  <si>
    <t>PREFA příponka ostění, délka 2000 mm</t>
  </si>
  <si>
    <t>PREFA Listwa L=2000 mm</t>
  </si>
  <si>
    <t>PREFA csatlakozó léc H = 2.000 mm</t>
  </si>
  <si>
    <t>PREFA plech na ostenie, dĺžka 2000 mm</t>
  </si>
  <si>
    <r>
      <rPr>
        <sz val="11"/>
        <color theme="1"/>
        <rFont val="Calibri"/>
        <family val="2"/>
      </rPr>
      <t>PREFA steekframe L = 2000 mm</t>
    </r>
  </si>
  <si>
    <r>
      <rPr>
        <sz val="11"/>
        <color theme="1"/>
        <rFont val="Calibri"/>
        <family val="2"/>
      </rPr>
      <t>PREFA instickslist L = 2.000 mm</t>
    </r>
  </si>
  <si>
    <r>
      <rPr>
        <sz val="11"/>
        <color theme="1"/>
        <rFont val="Calibri"/>
        <family val="2"/>
      </rPr>
      <t>PREFA stikliste L = 2.000 mm</t>
    </r>
  </si>
  <si>
    <r>
      <rPr>
        <sz val="11"/>
        <color theme="1"/>
        <rFont val="Calibri"/>
        <family val="2"/>
      </rPr>
      <t>PREFA innstikkslist L = 2000 mm</t>
    </r>
  </si>
  <si>
    <t>PREFA Utična lajsna L = 2.000 mm</t>
  </si>
  <si>
    <t>PREFA Stoßblech L = 2.000 mm</t>
  </si>
  <si>
    <t>PREFA joint connection; L = 2,000 mm</t>
  </si>
  <si>
    <t>profil de raccord T ; L = 2 000 mm</t>
  </si>
  <si>
    <t>profilo di battuta; L = 2000 mm</t>
  </si>
  <si>
    <t>PREFA dělící profil, délka 2000 mm</t>
  </si>
  <si>
    <t>PREFA Blacha stykowa L=2000 mm</t>
  </si>
  <si>
    <t>PREFA illesztőprofil H = 2.000 mm</t>
  </si>
  <si>
    <t>PREFA stykový plech, dĺžka 2000 mm</t>
  </si>
  <si>
    <r>
      <rPr>
        <sz val="11"/>
        <color theme="1"/>
        <rFont val="Calibri"/>
        <family val="2"/>
      </rPr>
      <t>PREFA stootplaat L = 2000 mm</t>
    </r>
  </si>
  <si>
    <r>
      <rPr>
        <sz val="11"/>
        <color theme="1"/>
        <rFont val="Calibri"/>
        <family val="2"/>
      </rPr>
      <t>PREFA skarvplåt L = 2.000 mm</t>
    </r>
  </si>
  <si>
    <r>
      <rPr>
        <sz val="11"/>
        <color theme="1"/>
        <rFont val="Calibri"/>
        <family val="2"/>
      </rPr>
      <t>PREFA stødplade L = 2.000 mm</t>
    </r>
  </si>
  <si>
    <r>
      <rPr>
        <sz val="11"/>
        <color theme="1"/>
        <rFont val="Calibri"/>
        <family val="2"/>
      </rPr>
      <t>PREFA laskeplate L = 2000 mm</t>
    </r>
  </si>
  <si>
    <t>PREFA Sudarni lim L = 2.000 mm</t>
  </si>
  <si>
    <t>PREFA Stoßverbinder L=150mm</t>
  </si>
  <si>
    <t>PREFA joint connector; L = 150 mm</t>
  </si>
  <si>
    <t>profil de liaison ; L = 150 mm</t>
  </si>
  <si>
    <t>giunto per gocciolatoio; L = 150 mm</t>
  </si>
  <si>
    <t>PREFA spojka okapnic, délka 150 mm</t>
  </si>
  <si>
    <t>PREFA Łącznik czołowy do elementu fasady L=150 mm</t>
  </si>
  <si>
    <t>PREFA illesztőlemez H = 150 mm</t>
  </si>
  <si>
    <t>PREFA panelová spojka, dĺžka 150 mm</t>
  </si>
  <si>
    <r>
      <rPr>
        <sz val="11"/>
        <color theme="1"/>
        <rFont val="Calibri"/>
        <family val="2"/>
      </rPr>
      <t>PREFA stootverbinding L = 150 mm</t>
    </r>
  </si>
  <si>
    <r>
      <rPr>
        <sz val="11"/>
        <color theme="1"/>
        <rFont val="Calibri"/>
        <family val="2"/>
      </rPr>
      <t>PREFA stötanslutning L = 150 mm</t>
    </r>
  </si>
  <si>
    <r>
      <rPr>
        <sz val="11"/>
        <color theme="1"/>
        <rFont val="Calibri"/>
        <family val="2"/>
      </rPr>
      <t>PREFA stødforbinder L = 150 mm</t>
    </r>
  </si>
  <si>
    <r>
      <rPr>
        <sz val="11"/>
        <color theme="1"/>
        <rFont val="Calibri"/>
        <family val="2"/>
      </rPr>
      <t>PREFA støtforbinder L = 150 mm</t>
    </r>
  </si>
  <si>
    <t>PREFA Spojni element L=150mm</t>
  </si>
  <si>
    <t>PREFA Sturmsicherungsclip</t>
  </si>
  <si>
    <t>PREFA storm-proof clip</t>
  </si>
  <si>
    <t>clip tempête</t>
  </si>
  <si>
    <t>clip antivento</t>
  </si>
  <si>
    <t>PREFA pojistný clips proti větru</t>
  </si>
  <si>
    <t>PREFA Klips przeciwburzowy</t>
  </si>
  <si>
    <t xml:space="preserve">PREFA viharkapocs   </t>
  </si>
  <si>
    <t>PREFA antivibračná svorka</t>
  </si>
  <si>
    <r>
      <rPr>
        <sz val="11"/>
        <color theme="1"/>
        <rFont val="Calibri"/>
        <family val="2"/>
      </rPr>
      <t>PREFA stormborgingsclip</t>
    </r>
  </si>
  <si>
    <r>
      <rPr>
        <sz val="11"/>
        <color theme="1"/>
        <rFont val="Calibri"/>
        <family val="2"/>
      </rPr>
      <t>PREFA stormsäkringsclips</t>
    </r>
  </si>
  <si>
    <r>
      <rPr>
        <sz val="11"/>
        <color theme="1"/>
        <rFont val="Calibri"/>
        <family val="2"/>
      </rPr>
      <t>PREFA stormsikringsklips</t>
    </r>
  </si>
  <si>
    <t>PREFA Sigurnosni clip držač kod nevremena</t>
  </si>
  <si>
    <t>PREFA Taschenprofil L = 2.500 mm</t>
  </si>
  <si>
    <t>PREFA channel profile; L = 2,500 mm</t>
  </si>
  <si>
    <t>profil replié ; L = 2 500 mm</t>
  </si>
  <si>
    <t>profilo ripiegato; L = 2500 mm</t>
  </si>
  <si>
    <t>PREFA ukončovací profil pro Sidings, délka 2500 mm</t>
  </si>
  <si>
    <t>PREFA Profil kantowany L=2500 mm</t>
  </si>
  <si>
    <t>PREFA takaróprofil H = 2.500 mm</t>
  </si>
  <si>
    <t>PREFA kryt režných otvorov, dĺžka 2500 mm</t>
  </si>
  <si>
    <r>
      <rPr>
        <sz val="11"/>
        <color theme="1"/>
        <rFont val="Calibri"/>
        <family val="2"/>
      </rPr>
      <t>PREFA zakprofiel L = 2500 mm</t>
    </r>
  </si>
  <si>
    <r>
      <rPr>
        <sz val="11"/>
        <color theme="1"/>
        <rFont val="Calibri"/>
        <family val="2"/>
      </rPr>
      <t>PREFA fickprofil L = 2.500 mm</t>
    </r>
  </si>
  <si>
    <r>
      <rPr>
        <sz val="11"/>
        <color theme="1"/>
        <rFont val="Calibri"/>
        <family val="2"/>
      </rPr>
      <t>PREFA lommeprofil L = 2.500 mm</t>
    </r>
  </si>
  <si>
    <r>
      <rPr>
        <sz val="11"/>
        <color theme="1"/>
        <rFont val="Calibri"/>
        <family val="2"/>
      </rPr>
      <t>PREFA lommeprofil L = 2500 mm</t>
    </r>
  </si>
  <si>
    <t>PREFA C-Profil L = 2.500 mm</t>
  </si>
  <si>
    <t>PREFA Wetterschenkel L = 2.500 mm</t>
  </si>
  <si>
    <t>PREFA drip; L = 2,500 mm</t>
  </si>
  <si>
    <t>renvoi d’eau ; L = 2 500 mm</t>
  </si>
  <si>
    <t>gocciolatoio; L = 2500 mm</t>
  </si>
  <si>
    <t>PREFA okapnice, délka 2500 mm</t>
  </si>
  <si>
    <t>PREFA Okapnik L=2500 mm</t>
  </si>
  <si>
    <t>PREFA viharléc H = 2.500 mm</t>
  </si>
  <si>
    <t>PREFA odkvapnicový profil, dĺžka 2500 mm</t>
  </si>
  <si>
    <r>
      <rPr>
        <sz val="11"/>
        <color theme="1"/>
        <rFont val="Calibri"/>
        <family val="2"/>
      </rPr>
      <t>PREFA weldorpel L = 2500 mm</t>
    </r>
  </si>
  <si>
    <r>
      <rPr>
        <sz val="11"/>
        <color theme="1"/>
        <rFont val="Calibri"/>
        <family val="2"/>
      </rPr>
      <t>PREFA väderskänkel L = 2.500 mm</t>
    </r>
  </si>
  <si>
    <r>
      <rPr>
        <sz val="11"/>
        <color theme="1"/>
        <rFont val="Calibri"/>
        <family val="2"/>
      </rPr>
      <t>PREFA vejrvinkelben L = 2.500 mm</t>
    </r>
  </si>
  <si>
    <r>
      <rPr>
        <sz val="11"/>
        <color theme="1"/>
        <rFont val="Calibri"/>
        <family val="2"/>
      </rPr>
      <t>PREFA vindusbeslag L = 2500 mm</t>
    </r>
  </si>
  <si>
    <t>PREFA Okapni lim L = 2.500 mm</t>
  </si>
  <si>
    <t>RETOURNIERUNG PER FAX:</t>
  </si>
  <si>
    <t>RETURN BY FAX:</t>
  </si>
  <si>
    <t>À RENVOYER PAR FAX :</t>
  </si>
  <si>
    <t>RESTITUIRE PER FAX:</t>
  </si>
  <si>
    <t>Zaslat zpět Faxem</t>
  </si>
  <si>
    <t>Nr zwrotny FAX:</t>
  </si>
  <si>
    <t>VÁLASZFAX:</t>
  </si>
  <si>
    <t>ODOSLAŤ SPÄŤ FAXOM:</t>
  </si>
  <si>
    <r>
      <rPr>
        <sz val="11"/>
        <color theme="1"/>
        <rFont val="Calibri"/>
        <family val="2"/>
      </rPr>
      <t>TERUGZENDEN PER FAX:</t>
    </r>
  </si>
  <si>
    <t>potrdilo na fax</t>
  </si>
  <si>
    <r>
      <rPr>
        <sz val="11"/>
        <color theme="1"/>
        <rFont val="Calibri"/>
        <family val="2"/>
      </rPr>
      <t>RETURNERING VIA FAX:</t>
    </r>
  </si>
  <si>
    <r>
      <rPr>
        <sz val="11"/>
        <color theme="1"/>
        <rFont val="Calibri"/>
        <family val="2"/>
      </rPr>
      <t>RETURNERING PR. FAX:</t>
    </r>
  </si>
  <si>
    <r>
      <rPr>
        <sz val="11"/>
        <color theme="1"/>
        <rFont val="Calibri"/>
        <family val="2"/>
      </rPr>
      <t>RETUR PER FAKS:</t>
    </r>
  </si>
  <si>
    <t>POVRAT PUTEM FAKSA:</t>
  </si>
  <si>
    <t>Schattenfuge 15 mm breit, 7 mm tief:</t>
  </si>
  <si>
    <t>Shadow gap (15 mm wide, 7 mm deep):</t>
  </si>
  <si>
    <t>joint creux de 15 mm (larg.) sur 7 mm (prof.) :</t>
  </si>
  <si>
    <t>larghezza della fuga15 mm, profondità 7 mm:</t>
  </si>
  <si>
    <t>Spára 15 mm šířka, 7 mm hloubka:</t>
  </si>
  <si>
    <t>Fuga podłużna szerokość 15 mm, głębokość 7 mm:</t>
  </si>
  <si>
    <t>Árnyékfuga 15 mm széles, 7 mm mély</t>
  </si>
  <si>
    <t>Tieňová škára - šírka 15 mm, hĺbka 7 mm:</t>
  </si>
  <si>
    <r>
      <rPr>
        <sz val="11"/>
        <color theme="1"/>
        <rFont val="Calibri"/>
        <family val="2"/>
      </rPr>
      <t>Schaduwvoeg breedte 15 mm, diepte 7 mm:</t>
    </r>
  </si>
  <si>
    <r>
      <rPr>
        <sz val="11"/>
        <color theme="1"/>
        <rFont val="Calibri"/>
        <family val="2"/>
      </rPr>
      <t>Skuggfog 15 mm bred, 7 mm djup:</t>
    </r>
  </si>
  <si>
    <r>
      <rPr>
        <sz val="11"/>
        <color theme="1"/>
        <rFont val="Calibri"/>
        <family val="2"/>
      </rPr>
      <t>Skyggefuge 15 mm bred, 7 mm dyb:</t>
    </r>
  </si>
  <si>
    <r>
      <rPr>
        <sz val="11"/>
        <color theme="1"/>
        <rFont val="Calibri"/>
        <family val="2"/>
      </rPr>
      <t>Skyggefuge 15 mm bred, 7 mm dyp:</t>
    </r>
  </si>
  <si>
    <t>Naglašena fuga 15 mm široka, 7 mm  duboka</t>
  </si>
  <si>
    <t>Schattenfuge:</t>
  </si>
  <si>
    <t>Shadow gap:</t>
  </si>
  <si>
    <t>joint creux :</t>
  </si>
  <si>
    <t xml:space="preserve">Spára: </t>
  </si>
  <si>
    <t>Fuga podłużna:</t>
  </si>
  <si>
    <t>Áryékfuga:</t>
  </si>
  <si>
    <t>Tieňová škára:</t>
  </si>
  <si>
    <r>
      <rPr>
        <sz val="11"/>
        <color theme="1"/>
        <rFont val="Calibri"/>
        <family val="2"/>
      </rPr>
      <t>Schaduwvoeg:</t>
    </r>
  </si>
  <si>
    <r>
      <rPr>
        <sz val="11"/>
        <color theme="1"/>
        <rFont val="Calibri"/>
        <family val="2"/>
      </rPr>
      <t>Skuggfog:</t>
    </r>
  </si>
  <si>
    <r>
      <rPr>
        <sz val="11"/>
        <color theme="1"/>
        <rFont val="Calibri"/>
        <family val="2"/>
      </rPr>
      <t>Skyggefuge:</t>
    </r>
  </si>
  <si>
    <t>Naglašena fuga:</t>
  </si>
  <si>
    <t>Service:</t>
  </si>
  <si>
    <t>Service :</t>
  </si>
  <si>
    <t>Servizio richiesto:</t>
  </si>
  <si>
    <t>Servis:</t>
  </si>
  <si>
    <t>Serwis:</t>
  </si>
  <si>
    <t>szolgáltatás:</t>
  </si>
  <si>
    <r>
      <rPr>
        <sz val="11"/>
        <rFont val="Slimbach LT"/>
      </rPr>
      <t>Service:</t>
    </r>
  </si>
  <si>
    <t>servis</t>
  </si>
  <si>
    <t>SIDING</t>
  </si>
  <si>
    <t>DOGA</t>
  </si>
  <si>
    <t>SIDINGS</t>
  </si>
  <si>
    <r>
      <rPr>
        <sz val="11"/>
        <color theme="1"/>
        <rFont val="Calibri"/>
        <family val="2"/>
      </rPr>
      <t>SIDING</t>
    </r>
  </si>
  <si>
    <r>
      <rPr>
        <sz val="11"/>
        <color theme="1"/>
        <rFont val="Calibri"/>
        <family val="2"/>
      </rPr>
      <t>Fasadpanel</t>
    </r>
  </si>
  <si>
    <r>
      <rPr>
        <sz val="11"/>
        <color theme="1"/>
        <rFont val="Calibri"/>
        <family val="2"/>
      </rPr>
      <t>KLEDNING</t>
    </r>
  </si>
  <si>
    <t xml:space="preserve">SIDING </t>
  </si>
  <si>
    <t>SIDING ZUBEHÖR</t>
  </si>
  <si>
    <t>SIDING ACCESSORIES</t>
  </si>
  <si>
    <t>ACCESSOIRES POUR SIDINGS</t>
  </si>
  <si>
    <t>ACCESSORI DOGHE</t>
  </si>
  <si>
    <t>SIDING doplňky</t>
  </si>
  <si>
    <t>Akcesoria SIDING</t>
  </si>
  <si>
    <t>SIDING KIEGÉSZÍTŐK</t>
  </si>
  <si>
    <t>SIDINGS doplnky</t>
  </si>
  <si>
    <r>
      <rPr>
        <sz val="11"/>
        <color theme="1"/>
        <rFont val="Calibri"/>
        <family val="2"/>
      </rPr>
      <t>SIDING TOEBEHOREN</t>
    </r>
  </si>
  <si>
    <r>
      <rPr>
        <sz val="11"/>
        <color theme="1"/>
        <rFont val="Calibri"/>
        <family val="2"/>
      </rPr>
      <t>Fasadpanel - tillbehör</t>
    </r>
  </si>
  <si>
    <r>
      <rPr>
        <sz val="11"/>
        <color theme="1"/>
        <rFont val="Calibri"/>
        <family val="2"/>
      </rPr>
      <t>SIDING TILBEHØR</t>
    </r>
  </si>
  <si>
    <r>
      <rPr>
        <sz val="11"/>
        <color theme="1"/>
        <rFont val="Calibri"/>
        <family val="2"/>
      </rPr>
      <t>KLEDNINGSTILBEHØR</t>
    </r>
  </si>
  <si>
    <t>SIDING PRIBOR</t>
  </si>
  <si>
    <t>Doga.X</t>
  </si>
  <si>
    <t>Siding X</t>
  </si>
  <si>
    <r>
      <rPr>
        <sz val="11"/>
        <color theme="1"/>
        <rFont val="Calibri"/>
        <family val="2"/>
      </rPr>
      <t>Siding.X</t>
    </r>
  </si>
  <si>
    <r>
      <rPr>
        <sz val="11"/>
        <color theme="1"/>
        <rFont val="Calibri"/>
        <family val="2"/>
      </rPr>
      <t>Fasadpanel.X</t>
    </r>
  </si>
  <si>
    <r>
      <rPr>
        <sz val="11"/>
        <color theme="1"/>
        <rFont val="Calibri"/>
        <family val="2"/>
      </rPr>
      <t>Kledning.X</t>
    </r>
  </si>
  <si>
    <t>Language</t>
  </si>
  <si>
    <t>Langue</t>
  </si>
  <si>
    <t>Lingua</t>
  </si>
  <si>
    <t>jazyk</t>
  </si>
  <si>
    <t>Polski</t>
  </si>
  <si>
    <t>Nyelv</t>
  </si>
  <si>
    <t>Jazyk</t>
  </si>
  <si>
    <r>
      <rPr>
        <sz val="11"/>
        <color theme="1"/>
        <rFont val="Calibri"/>
        <family val="2"/>
      </rPr>
      <t>Taal</t>
    </r>
  </si>
  <si>
    <t>jezik</t>
  </si>
  <si>
    <r>
      <rPr>
        <sz val="11"/>
        <color theme="1"/>
        <rFont val="Calibri"/>
        <family val="2"/>
      </rPr>
      <t>Språk</t>
    </r>
  </si>
  <si>
    <r>
      <rPr>
        <sz val="11"/>
        <color theme="1"/>
        <rFont val="Calibri"/>
        <family val="2"/>
      </rPr>
      <t>Sprog</t>
    </r>
  </si>
  <si>
    <t>Jezik</t>
  </si>
  <si>
    <t>Stand:</t>
  </si>
  <si>
    <t>Version:</t>
  </si>
  <si>
    <t>Version :</t>
  </si>
  <si>
    <t>Aggiornato:</t>
  </si>
  <si>
    <t>Stav:</t>
  </si>
  <si>
    <t>Wersja:</t>
  </si>
  <si>
    <t>Állapot:</t>
  </si>
  <si>
    <r>
      <rPr>
        <sz val="11"/>
        <color theme="1"/>
        <rFont val="Calibri"/>
        <family val="2"/>
      </rPr>
      <t>Versie:</t>
    </r>
  </si>
  <si>
    <t>Različica:</t>
  </si>
  <si>
    <r>
      <rPr>
        <sz val="11"/>
        <color theme="1"/>
        <rFont val="Calibri"/>
        <family val="2"/>
      </rPr>
      <t>Uppdaterad:</t>
    </r>
  </si>
  <si>
    <r>
      <rPr>
        <sz val="11"/>
        <color theme="1"/>
        <rFont val="Calibri"/>
        <family val="2"/>
      </rPr>
      <t>Stand:</t>
    </r>
  </si>
  <si>
    <t>Stanje:</t>
  </si>
  <si>
    <t>STK</t>
  </si>
  <si>
    <t>pc.</t>
  </si>
  <si>
    <t>Pz</t>
  </si>
  <si>
    <t>KS</t>
  </si>
  <si>
    <t>szt.</t>
  </si>
  <si>
    <t>db</t>
  </si>
  <si>
    <t>ks</t>
  </si>
  <si>
    <r>
      <rPr>
        <sz val="11"/>
        <color theme="1"/>
        <rFont val="Calibri"/>
        <family val="2"/>
      </rPr>
      <t>STKS</t>
    </r>
  </si>
  <si>
    <t>kos</t>
  </si>
  <si>
    <r>
      <rPr>
        <sz val="11"/>
        <color theme="1"/>
        <rFont val="Calibri"/>
        <family val="2"/>
      </rPr>
      <t>st.</t>
    </r>
  </si>
  <si>
    <r>
      <rPr>
        <sz val="11"/>
        <color theme="1"/>
        <rFont val="Calibri"/>
        <family val="2"/>
      </rPr>
      <t>STK.</t>
    </r>
  </si>
  <si>
    <r>
      <rPr>
        <sz val="11"/>
        <color theme="1"/>
        <rFont val="Calibri"/>
        <family val="2"/>
      </rPr>
      <t>Stk.</t>
    </r>
  </si>
  <si>
    <t>KOM</t>
  </si>
  <si>
    <t>Straße:</t>
  </si>
  <si>
    <t>Street:</t>
  </si>
  <si>
    <t>Adresse :</t>
  </si>
  <si>
    <t>Via:</t>
  </si>
  <si>
    <t>Ulice:</t>
  </si>
  <si>
    <t>Ulica:</t>
  </si>
  <si>
    <t>Utca:</t>
  </si>
  <si>
    <r>
      <rPr>
        <sz val="11"/>
        <color theme="1"/>
        <rFont val="Calibri"/>
        <family val="2"/>
      </rPr>
      <t>Straat:</t>
    </r>
  </si>
  <si>
    <t>ulica</t>
  </si>
  <si>
    <r>
      <rPr>
        <sz val="11"/>
        <color theme="1"/>
        <rFont val="Calibri"/>
        <family val="2"/>
      </rPr>
      <t>Gatuadress:</t>
    </r>
  </si>
  <si>
    <r>
      <rPr>
        <sz val="11"/>
        <color theme="1"/>
        <rFont val="Calibri"/>
        <family val="2"/>
      </rPr>
      <t>Gade:</t>
    </r>
  </si>
  <si>
    <r>
      <rPr>
        <sz val="11"/>
        <color theme="1"/>
        <rFont val="Calibri"/>
        <family val="2"/>
      </rPr>
      <t>Gate:</t>
    </r>
  </si>
  <si>
    <t>Ulica</t>
  </si>
  <si>
    <t>goffrata</t>
  </si>
  <si>
    <t>Stucco</t>
  </si>
  <si>
    <t>stukkó</t>
  </si>
  <si>
    <r>
      <rPr>
        <sz val="11"/>
        <color theme="1"/>
        <rFont val="Calibri"/>
        <family val="2"/>
      </rPr>
      <t>stucco</t>
    </r>
  </si>
  <si>
    <r>
      <rPr>
        <sz val="11"/>
        <color theme="1"/>
        <rFont val="Calibri"/>
        <family val="2"/>
      </rPr>
      <t>stuckatur</t>
    </r>
  </si>
  <si>
    <t>Stückliste Siding</t>
  </si>
  <si>
    <t>Parts list – siding</t>
  </si>
  <si>
    <t>Nomemclature – siding</t>
  </si>
  <si>
    <t>Elenco pezzi Doga</t>
  </si>
  <si>
    <t>Kusovník Stavební šířka</t>
  </si>
  <si>
    <t>Lista elementów szerokość</t>
  </si>
  <si>
    <t>Darablista szélességenként</t>
  </si>
  <si>
    <t>Kusovník podľa stavebnej šířky</t>
  </si>
  <si>
    <t>Stuklijst Siding</t>
  </si>
  <si>
    <t>Komponentlista fasadpanel</t>
  </si>
  <si>
    <t>stykliste siding</t>
  </si>
  <si>
    <t>Deleliste kledning</t>
  </si>
  <si>
    <t>Komadna lista Siding</t>
  </si>
  <si>
    <t>Telefon:</t>
  </si>
  <si>
    <t>Phone:</t>
  </si>
  <si>
    <t>Téléphone :</t>
  </si>
  <si>
    <t>Telefono:</t>
  </si>
  <si>
    <t>Telefón:</t>
  </si>
  <si>
    <r>
      <rPr>
        <sz val="11"/>
        <color theme="1"/>
        <rFont val="Calibri"/>
        <family val="2"/>
      </rPr>
      <t>Telefoon:</t>
    </r>
  </si>
  <si>
    <t>telefon</t>
  </si>
  <si>
    <r>
      <rPr>
        <sz val="11"/>
        <color theme="1"/>
        <rFont val="Calibri"/>
        <family val="2"/>
      </rPr>
      <t>Telefon:</t>
    </r>
  </si>
  <si>
    <t>Total</t>
  </si>
  <si>
    <t>Totale</t>
  </si>
  <si>
    <t>Celkem</t>
  </si>
  <si>
    <t>Suma</t>
  </si>
  <si>
    <t>összesen</t>
  </si>
  <si>
    <t>Celkom</t>
  </si>
  <si>
    <r>
      <rPr>
        <sz val="11"/>
        <color theme="1"/>
        <rFont val="Calibri"/>
        <family val="2"/>
      </rPr>
      <t>Totaal</t>
    </r>
  </si>
  <si>
    <t>skupaj</t>
  </si>
  <si>
    <r>
      <rPr>
        <sz val="11"/>
        <color theme="1"/>
        <rFont val="Calibri"/>
        <family val="2"/>
      </rPr>
      <t>Totalt</t>
    </r>
  </si>
  <si>
    <r>
      <rPr>
        <sz val="11"/>
        <color theme="1"/>
        <rFont val="Calibri"/>
        <family val="2"/>
      </rPr>
      <t>I alt</t>
    </r>
  </si>
  <si>
    <t>Ukupno</t>
  </si>
  <si>
    <t>VPE</t>
  </si>
  <si>
    <t>PU</t>
  </si>
  <si>
    <t>UE</t>
  </si>
  <si>
    <t>Confezione</t>
  </si>
  <si>
    <t>Celé balení:</t>
  </si>
  <si>
    <t>CSE</t>
  </si>
  <si>
    <t>Celé balenie:</t>
  </si>
  <si>
    <r>
      <rPr>
        <sz val="11"/>
        <color theme="1"/>
        <rFont val="Calibri"/>
        <family val="2"/>
      </rPr>
      <t>VPE (verpakkingseenheid)</t>
    </r>
  </si>
  <si>
    <t>Enota</t>
  </si>
  <si>
    <r>
      <rPr>
        <sz val="11"/>
        <color theme="1"/>
        <rFont val="Calibri"/>
        <family val="2"/>
      </rPr>
      <t>FPE (förpackningsenhet)</t>
    </r>
  </si>
  <si>
    <r>
      <rPr>
        <sz val="11"/>
        <color theme="1"/>
        <rFont val="Calibri"/>
        <family val="2"/>
      </rPr>
      <t>Pakkeenhed</t>
    </r>
  </si>
  <si>
    <r>
      <rPr>
        <sz val="11"/>
        <color theme="1"/>
        <rFont val="Calibri"/>
        <family val="2"/>
      </rPr>
      <t>FPE (forpakningsenhet)</t>
    </r>
  </si>
  <si>
    <t>Pakiranje</t>
  </si>
  <si>
    <t>Standardfarbe</t>
  </si>
  <si>
    <t>standard color</t>
  </si>
  <si>
    <t>couleur standard</t>
  </si>
  <si>
    <t>colore standard</t>
  </si>
  <si>
    <t>Standardní barva</t>
  </si>
  <si>
    <t>standardowym kolorem</t>
  </si>
  <si>
    <t>standard szín</t>
  </si>
  <si>
    <t>Štandardná farba</t>
  </si>
  <si>
    <r>
      <rPr>
        <sz val="11"/>
        <color theme="1"/>
        <rFont val="Calibri"/>
        <family val="2"/>
      </rPr>
      <t>Standaardkleur</t>
    </r>
  </si>
  <si>
    <r>
      <rPr>
        <sz val="11"/>
        <color theme="1"/>
        <rFont val="Calibri"/>
        <family val="2"/>
      </rPr>
      <t>Standardfärg</t>
    </r>
  </si>
  <si>
    <r>
      <rPr>
        <sz val="11"/>
        <color theme="1"/>
        <rFont val="Calibri"/>
        <family val="2"/>
      </rPr>
      <t>Standardfarve</t>
    </r>
  </si>
  <si>
    <r>
      <rPr>
        <sz val="11"/>
        <color theme="1"/>
        <rFont val="Calibri"/>
        <family val="2"/>
      </rPr>
      <t>Standardfarge</t>
    </r>
  </si>
  <si>
    <t>Standardna boja</t>
  </si>
  <si>
    <t>Mindestmenge</t>
  </si>
  <si>
    <t>Minimum amount</t>
  </si>
  <si>
    <t>Montant minimum</t>
  </si>
  <si>
    <t>Importo minimo</t>
  </si>
  <si>
    <t>Minimální částka</t>
  </si>
  <si>
    <t>Minimalna kwota</t>
  </si>
  <si>
    <t>Minimális összeg</t>
  </si>
  <si>
    <t>Minimálna suma</t>
  </si>
  <si>
    <t>Minimumbedrag</t>
  </si>
  <si>
    <t>Najmanjši znesek</t>
  </si>
  <si>
    <t>Minsta belopp</t>
  </si>
  <si>
    <t>Minimumsbeløb</t>
  </si>
  <si>
    <t>Minimumsbeløp</t>
  </si>
  <si>
    <t>Najmanja količina</t>
  </si>
  <si>
    <t>Bitte zuerst Ausführung der Schattenfuge auswählen</t>
  </si>
  <si>
    <t>Please first select the shadow gap version you require.</t>
  </si>
  <si>
    <t>Veuillez d'abord sélectionner le modèle de joint creux</t>
  </si>
  <si>
    <t>Scegliere prima il tipo di fuga.</t>
  </si>
  <si>
    <t>Nejprve prosím vyberte zda chcete provedení s nebo bez spáry.</t>
  </si>
  <si>
    <t>Wybierz najpierw rodzaj fugi cieniowej.</t>
  </si>
  <si>
    <t>Kérjük, először az árnyékfuga lehetőségét válassza ki.</t>
  </si>
  <si>
    <t>Prosím zvoľte si najprv vyhotovenie tieňovej škáry.</t>
  </si>
  <si>
    <t>Kies eerst de uitvoering van de schaduwvoeg.</t>
  </si>
  <si>
    <t>Najprej izberite izvedbo senčne fuge.</t>
  </si>
  <si>
    <t>Välj först önskad skuggfog.</t>
  </si>
  <si>
    <t>Vælg først skyggefugens udførelse.</t>
  </si>
  <si>
    <t>Velg først utførelsen av skyggefugen.</t>
  </si>
  <si>
    <t xml:space="preserve">Molimo prvo odabrati izvedbu nenaglašene fuge </t>
  </si>
  <si>
    <t>Verlegeschema</t>
  </si>
  <si>
    <t>scheme</t>
  </si>
  <si>
    <t>plan</t>
  </si>
  <si>
    <t>schema di posa</t>
  </si>
  <si>
    <t>systém</t>
  </si>
  <si>
    <t>schemat</t>
  </si>
  <si>
    <t>rendszer</t>
  </si>
  <si>
    <t>schema</t>
  </si>
  <si>
    <t>shema</t>
  </si>
  <si>
    <t>ordning</t>
  </si>
  <si>
    <t>ordningen</t>
  </si>
  <si>
    <t>Shema</t>
  </si>
  <si>
    <t>17 P.10 reinweiß</t>
  </si>
  <si>
    <t>17 P.10 pure white</t>
  </si>
  <si>
    <t>17 P.10 blanc pur</t>
  </si>
  <si>
    <t>17 P.10 bianco puro</t>
  </si>
  <si>
    <t>17 P.10 čistě bílá</t>
  </si>
  <si>
    <t>17 P.10 czysta biel</t>
  </si>
  <si>
    <t>17 P.10 tisztafehér</t>
  </si>
  <si>
    <t>17 P.10 čisto biele</t>
  </si>
  <si>
    <t>17 P.10 zuiver wit</t>
  </si>
  <si>
    <t>17 P.10 Bele</t>
  </si>
  <si>
    <t>17 P.10 renvit</t>
  </si>
  <si>
    <t>17 P.10 Renhvid Ral 9010</t>
  </si>
  <si>
    <t>17 P.10 Renhvit</t>
  </si>
  <si>
    <t>17 P.10 Bijela</t>
  </si>
  <si>
    <t>19 P.10 dunkelgrau</t>
  </si>
  <si>
    <t>19 P.10 dark grey</t>
  </si>
  <si>
    <t>19 P.10 gris sombre</t>
  </si>
  <si>
    <t>19 P.10 grigio scuro</t>
  </si>
  <si>
    <t>19 P.10 tmavě šedá</t>
  </si>
  <si>
    <t>19 P.10 ciemnoszary</t>
  </si>
  <si>
    <t>19 P.10 grafitszürke</t>
  </si>
  <si>
    <t>19 P.10 tmavošedý</t>
  </si>
  <si>
    <t>19 P.10 donkergrijs</t>
  </si>
  <si>
    <t>19 P.10 Tamno siva</t>
  </si>
  <si>
    <t>19 P.10 mörkgrå</t>
  </si>
  <si>
    <t>19 P.10 Mørk grå ral 7043</t>
  </si>
  <si>
    <t>19 P.10 Mørk grå</t>
  </si>
  <si>
    <t>38 Walnuss braun</t>
  </si>
  <si>
    <t>38 Noyer Foncé</t>
  </si>
  <si>
    <t>39 Eiche beige-grau</t>
  </si>
  <si>
    <t>39 Chêne Gris</t>
  </si>
  <si>
    <t>Zusatzvermerk:</t>
  </si>
  <si>
    <t>Additional remarks:</t>
  </si>
  <si>
    <t>Indications complémentaires :</t>
  </si>
  <si>
    <t>Annotazioni</t>
  </si>
  <si>
    <t>Poznámky</t>
  </si>
  <si>
    <t>Dodatkowe uwagi:</t>
  </si>
  <si>
    <t>megjegyzés:</t>
  </si>
  <si>
    <t>Ďalšie poznámky</t>
  </si>
  <si>
    <r>
      <rPr>
        <sz val="11"/>
        <color theme="1"/>
        <rFont val="Calibri"/>
        <family val="2"/>
      </rPr>
      <t>Aanvullende notitie:</t>
    </r>
  </si>
  <si>
    <t>dodatne opombe</t>
  </si>
  <si>
    <r>
      <rPr>
        <sz val="11"/>
        <color theme="1"/>
        <rFont val="Calibri"/>
        <family val="2"/>
      </rPr>
      <t>Kompletterande notering:</t>
    </r>
  </si>
  <si>
    <r>
      <rPr>
        <sz val="11"/>
        <color theme="1"/>
        <rFont val="Calibri"/>
        <family val="2"/>
      </rPr>
      <t>Ekstra anmærkning:</t>
    </r>
  </si>
  <si>
    <r>
      <rPr>
        <sz val="11"/>
        <color theme="1"/>
        <rFont val="Calibri"/>
        <family val="2"/>
      </rPr>
      <t>Tilleggsnotat:</t>
    </r>
  </si>
  <si>
    <t>Dodatna napomena:</t>
  </si>
  <si>
    <t>Hinweis: Kombination von unterschiedlichen Baubreiten muss in der Materialstärke der größeren Baubreite ausgeführt werden.</t>
  </si>
  <si>
    <t>Note: when combining different visible widths, the thickness of the material should correspond to the thickness of the largest visible width.</t>
  </si>
  <si>
    <t>Remarque : Lorsque l’on combine différentes largeurs utiles, l’épaisseur du matériau doit correspondre à celle de la plus grande largeur utile.</t>
  </si>
  <si>
    <t>Nota: volendo abbinare larghezze d'ingombro diverse, lo spessore del materiale deve essere quello della larghezza d'ingombro maggiore per tutti gli elementi.</t>
  </si>
  <si>
    <t>Při kombinaci různých stavebních šířek lamel se používá k výrobě materiál tloušťky nejširší lamely.</t>
  </si>
  <si>
    <t>Uwaga: W przypadku połączenia różnych szerokości konstrukcyjnych grubość materiału powinna odpowiadać materiałowi o większej szerokości konstrukcyjnej.</t>
  </si>
  <si>
    <t>Figyelmeztetés: különböző fedési szélességek esetén a legszélesebb elem anyagvastagsága lesz a mértékadó.</t>
  </si>
  <si>
    <t>Poznámka: Pri kombinácii panelov rôznych stavebných šírok musia byť panely vyhotovené v hrúbke materiálu väčšej stavebnej šírky.</t>
  </si>
  <si>
    <t>Aanwijzing: bij het combineren van verschillende breedtes, moet de dikte van de grootste breedte als materiaaldikte worden genomen.</t>
  </si>
  <si>
    <t>Opozorilo: Pri kombinaciji različnih gradbenih širin mora debelina materiala ustrezati debelini največje gradbene širine.</t>
  </si>
  <si>
    <t>Observera: Om olika bredder kombineras måste materialets tjocklek motsvara den bredare bredden.</t>
  </si>
  <si>
    <t>Bemærk: Kombination med forskellige byggebredder skal udføres i materialetykkelsen for den største byggebredde.</t>
  </si>
  <si>
    <t>Merk: Ved kombinasjon av ulike byggebredder må materialtykkelsen til den største byggebredden brukes.</t>
  </si>
  <si>
    <t>Napomena: kod kombiniranja različitih ugradbenih širina, debljina materijala mora odgovarati debljini najšire ugradbene širine.</t>
  </si>
  <si>
    <t>dieser Kombination</t>
  </si>
  <si>
    <t>deze combinatie</t>
  </si>
  <si>
    <t>denna kombination</t>
  </si>
  <si>
    <t>denne kombination</t>
  </si>
  <si>
    <t>denne kombinasjonen</t>
  </si>
  <si>
    <t>PREFA Innenecke L = 2.000 mm (mehrteilig)</t>
  </si>
  <si>
    <t>PREFA recessed corner; L = 2,000 mm (mehrteilig)</t>
  </si>
  <si>
    <t>angle rentrant PREFA, L = 2 000 mm (plusieurs éléments)</t>
  </si>
  <si>
    <t>angolo interno; L = 2000 mm (mehrteilig)</t>
  </si>
  <si>
    <t>PREFA vnitřní roh, délka 2000 mm (mehrteilig)</t>
  </si>
  <si>
    <t>PREFA Narożnik wewnętrzny L=2000 mm (mehrteilig)</t>
  </si>
  <si>
    <t>PREFA belső sarok profil H = 2.000 mm (mehrteilig)</t>
  </si>
  <si>
    <t>PREFA kútový profil, dĺžka 2500 mm (mehrteilig)</t>
  </si>
  <si>
    <t>PREFA binnenhoek L = 2000 mm (mehrteilig)</t>
  </si>
  <si>
    <t>PREFA invändigt hörn L = 2.000 mm (mehrteilig)</t>
  </si>
  <si>
    <t>PREFA indvendigt hjørne L = 2.000 mm (mehrteilig)</t>
  </si>
  <si>
    <t>PREFA innvendig hjørne L = 2000 mm (mehrteilig)</t>
  </si>
  <si>
    <t>PREFA Unutarnji kut L = 2.000 mm (mehrteilig)</t>
  </si>
  <si>
    <t>PREFA Taschenprofil L = 2.500 mm gekantet</t>
  </si>
  <si>
    <t>profil replié PREFA, L = 2 500 mm</t>
  </si>
  <si>
    <t>PREFA Fuge.500</t>
  </si>
  <si>
    <t>PREFA joint.500</t>
  </si>
  <si>
    <t>jointure.500</t>
  </si>
  <si>
    <t>fuga.500</t>
  </si>
  <si>
    <t>PREFA spára 500 mm</t>
  </si>
  <si>
    <t>PREFA Fuga.500</t>
  </si>
  <si>
    <t>PREFA fuga.500</t>
  </si>
  <si>
    <t>PREFA škára 500 mm</t>
  </si>
  <si>
    <t>PREFA voeg.500</t>
  </si>
  <si>
    <t>PREFA Fog.500</t>
  </si>
  <si>
    <t>PREFA Fuge.600</t>
  </si>
  <si>
    <t>PREFA joint.600</t>
  </si>
  <si>
    <t>jointure.600</t>
  </si>
  <si>
    <t>fuga.600</t>
  </si>
  <si>
    <t>PREFA spára 600 mm</t>
  </si>
  <si>
    <t>PREFA Fuga.600</t>
  </si>
  <si>
    <t>PREFA fuga.600</t>
  </si>
  <si>
    <t>PREFA škára 600 mm</t>
  </si>
  <si>
    <t>PREFA voeg.600</t>
  </si>
  <si>
    <t>PREFA Fog.600</t>
  </si>
  <si>
    <t>PREFA Montagehilfe Sturmsicherungsclip für Materialstärke 1,5mm</t>
  </si>
  <si>
    <t>PREFA storm-proof clip mounting aid 1,5 mm</t>
  </si>
  <si>
    <t>cale d’espacement pour clip tempête 1,5 mm</t>
  </si>
  <si>
    <t>dima di ausilio per montaggio della clip antivento (per spessore di 1,5 mm)</t>
  </si>
  <si>
    <t>PREFA montážní pomůcka pro clipsy 1,5 mm</t>
  </si>
  <si>
    <t>PREFA Przyrząd montażowy klipsu przeciwburzowego 1,5 mm</t>
  </si>
  <si>
    <t>PREFA viharkapocs rögzítőelem 1,5mm</t>
  </si>
  <si>
    <t>PREFA montážna pomôcka pre antivibračnú svorku 1,5 mm</t>
  </si>
  <si>
    <t>PREFA montagehulp stormborgingsclip voor materiaaldikte 1,5 mm</t>
  </si>
  <si>
    <t>PREFA monteringshjälp stormsäkringsclips för materialtjocklek 1,5 mm</t>
  </si>
  <si>
    <t>PREFA monteringshjælp stormsikringsklips til materialetykkelse 1,5 mm</t>
  </si>
  <si>
    <t>PREFA monteringshjelp stormsikringsklips for materialtykkelse 1,5 mm</t>
  </si>
  <si>
    <t>PREFA Pomoć kod montaže Sigurnosni clip držač kod nevremena za debljinu materijala 1,5mm</t>
  </si>
  <si>
    <t>138 x 1,0 mm</t>
  </si>
  <si>
    <t>PREFA Startprofil L = 2.000 mm P.10 Sonderfarbe</t>
  </si>
  <si>
    <t>profil de départ; L = 2 000 mm P.10 autre teinte“</t>
  </si>
  <si>
    <t>PREFA Taschenprofil L = 2.500 mm (Haltewinkel)</t>
  </si>
  <si>
    <t>Profil d’accrochage PREFA L = 2 500 mm</t>
  </si>
  <si>
    <t>500 x 1,5 mm</t>
  </si>
  <si>
    <t>600 x 1,5 mm</t>
  </si>
  <si>
    <t>122150</t>
  </si>
  <si>
    <t>122153</t>
  </si>
  <si>
    <t>122152</t>
  </si>
  <si>
    <t>594800</t>
  </si>
  <si>
    <t>122151</t>
  </si>
  <si>
    <t>594801</t>
  </si>
  <si>
    <t>122170</t>
  </si>
  <si>
    <t>122173</t>
  </si>
  <si>
    <t>Nettofläche:</t>
  </si>
  <si>
    <t>Bruttofläche:</t>
  </si>
  <si>
    <t>Verschnitt:</t>
  </si>
  <si>
    <t>%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</si>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</sst>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\ &quot;m²&quot;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0" tint="-0.34998626667073579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0"/>
      <name val="Arial"/>
      <family val="2"/>
    </font>
    <font>
      <sz val="1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3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rgb="FFFF0000"/>
      <name val="Arial"/>
      <family val="2"/>
    </font>
    <font>
      <sz val="13"/>
      <color theme="0"/>
      <name val="Calibri"/>
      <family val="2"/>
    </font>
    <font>
      <b/>
      <sz val="13"/>
      <name val="Calibri"/>
      <family val="2"/>
      <scheme val="minor"/>
    </font>
    <font>
      <sz val="13"/>
      <name val="Calibri"/>
      <family val="2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Slimbach LT"/>
    </font>
    <font>
      <vertAlign val="superscript"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3" fillId="0" borderId="0" xfId="0" applyFont="1" applyAlignment="1" applyProtection="1">
      <alignment vertical="center"/>
    </xf>
    <xf numFmtId="0" fontId="0" fillId="0" borderId="0" xfId="0" applyProtection="1"/>
    <xf numFmtId="0" fontId="3" fillId="0" borderId="2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3" fillId="0" borderId="0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Fill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0" fillId="4" borderId="13" xfId="0" applyFont="1" applyFill="1" applyBorder="1" applyAlignment="1" applyProtection="1">
      <alignment horizontal="center" vertical="center"/>
    </xf>
    <xf numFmtId="49" fontId="11" fillId="5" borderId="13" xfId="0" applyNumberFormat="1" applyFont="1" applyFill="1" applyBorder="1" applyAlignment="1" applyProtection="1">
      <alignment horizontal="center" vertical="center"/>
    </xf>
    <xf numFmtId="49" fontId="11" fillId="0" borderId="13" xfId="0" applyNumberFormat="1" applyFont="1" applyBorder="1" applyAlignment="1" applyProtection="1">
      <alignment horizontal="center" vertical="center"/>
    </xf>
    <xf numFmtId="0" fontId="11" fillId="5" borderId="13" xfId="0" applyFont="1" applyFill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15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top"/>
    </xf>
    <xf numFmtId="0" fontId="13" fillId="0" borderId="26" xfId="0" applyFont="1" applyFill="1" applyBorder="1" applyAlignment="1" applyProtection="1">
      <alignment horizontal="right" vertical="center"/>
    </xf>
    <xf numFmtId="0" fontId="3" fillId="0" borderId="26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64" fontId="19" fillId="0" borderId="0" xfId="0" applyNumberFormat="1" applyFont="1" applyFill="1" applyBorder="1" applyAlignment="1" applyProtection="1">
      <alignment vertical="center"/>
    </xf>
    <xf numFmtId="0" fontId="9" fillId="3" borderId="37" xfId="0" applyFont="1" applyFill="1" applyBorder="1" applyAlignment="1" applyProtection="1">
      <alignment horizontal="center" vertical="center"/>
      <protection locked="0"/>
    </xf>
    <xf numFmtId="0" fontId="9" fillId="3" borderId="38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9" fillId="3" borderId="27" xfId="0" applyFont="1" applyFill="1" applyBorder="1" applyAlignment="1" applyProtection="1">
      <alignment horizontal="center" vertical="center"/>
      <protection locked="0"/>
    </xf>
    <xf numFmtId="0" fontId="9" fillId="3" borderId="43" xfId="0" applyFont="1" applyFill="1" applyBorder="1" applyAlignment="1" applyProtection="1">
      <alignment horizontal="center" vertical="center"/>
      <protection locked="0"/>
    </xf>
    <xf numFmtId="0" fontId="9" fillId="3" borderId="4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0" borderId="13" xfId="0" applyFont="1" applyBorder="1" applyAlignment="1" applyProtection="1">
      <alignment vertical="center"/>
      <protection locked="0"/>
    </xf>
    <xf numFmtId="0" fontId="20" fillId="0" borderId="0" xfId="0" applyFont="1" applyFill="1" applyAlignment="1" applyProtection="1">
      <alignment horizontal="left" vertical="center"/>
    </xf>
    <xf numFmtId="0" fontId="9" fillId="3" borderId="47" xfId="0" applyFont="1" applyFill="1" applyBorder="1" applyAlignment="1" applyProtection="1">
      <alignment horizontal="center" vertical="center"/>
      <protection locked="0"/>
    </xf>
    <xf numFmtId="0" fontId="9" fillId="3" borderId="48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6" fillId="3" borderId="51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0" fillId="0" borderId="0" xfId="0" applyFont="1" applyAlignment="1" applyProtection="1">
      <alignment horizontal="left" vertical="center" indent="1"/>
    </xf>
    <xf numFmtId="0" fontId="0" fillId="0" borderId="54" xfId="0" applyBorder="1"/>
    <xf numFmtId="0" fontId="0" fillId="0" borderId="57" xfId="0" applyBorder="1"/>
    <xf numFmtId="0" fontId="3" fillId="0" borderId="0" xfId="0" applyFont="1" applyAlignment="1" applyProtection="1">
      <alignment vertical="center"/>
      <protection locked="0"/>
    </xf>
    <xf numFmtId="0" fontId="0" fillId="0" borderId="60" xfId="0" applyBorder="1"/>
    <xf numFmtId="0" fontId="0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29" fillId="0" borderId="0" xfId="0" applyFont="1" applyAlignment="1" applyProtection="1">
      <alignment vertical="center"/>
    </xf>
    <xf numFmtId="0" fontId="5" fillId="0" borderId="60" xfId="0" applyFont="1" applyBorder="1" applyAlignment="1">
      <alignment vertical="center"/>
    </xf>
    <xf numFmtId="0" fontId="2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6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27" fillId="0" borderId="0" xfId="0" applyFont="1" applyAlignment="1" applyProtection="1">
      <alignment horizontal="right" vertic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13" xfId="0" applyFont="1" applyFill="1" applyBorder="1" applyAlignment="1"/>
    <xf numFmtId="0" fontId="26" fillId="0" borderId="13" xfId="0" applyFont="1" applyFill="1" applyBorder="1" applyAlignment="1">
      <alignment horizontal="left"/>
    </xf>
    <xf numFmtId="0" fontId="0" fillId="7" borderId="13" xfId="0" applyFont="1" applyFill="1" applyBorder="1" applyAlignment="1"/>
    <xf numFmtId="0" fontId="0" fillId="0" borderId="0" xfId="0" applyFont="1" applyFill="1" applyAlignment="1"/>
    <xf numFmtId="0" fontId="0" fillId="0" borderId="13" xfId="0" applyFont="1" applyFill="1" applyBorder="1"/>
    <xf numFmtId="0" fontId="30" fillId="0" borderId="13" xfId="0" applyFont="1" applyFill="1" applyBorder="1" applyAlignment="1"/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31" fillId="0" borderId="13" xfId="0" applyFont="1" applyFill="1" applyBorder="1" applyAlignment="1" applyProtection="1">
      <alignment vertical="center"/>
    </xf>
    <xf numFmtId="0" fontId="26" fillId="0" borderId="0" xfId="0" applyFont="1" applyFill="1" applyAlignment="1">
      <alignment horizontal="left"/>
    </xf>
    <xf numFmtId="0" fontId="26" fillId="0" borderId="13" xfId="0" applyFont="1" applyFill="1" applyBorder="1" applyAlignment="1" applyProtection="1">
      <alignment vertical="center"/>
    </xf>
    <xf numFmtId="0" fontId="0" fillId="0" borderId="13" xfId="0" applyFont="1" applyFill="1" applyBorder="1" applyAlignment="1">
      <alignment wrapText="1"/>
    </xf>
    <xf numFmtId="0" fontId="0" fillId="0" borderId="13" xfId="0" applyFont="1" applyFill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3" xfId="0" applyFont="1" applyBorder="1" applyAlignment="1"/>
    <xf numFmtId="0" fontId="0" fillId="0" borderId="13" xfId="0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26" fillId="7" borderId="0" xfId="0" applyFont="1" applyFill="1" applyAlignment="1">
      <alignment horizontal="left"/>
    </xf>
    <xf numFmtId="0" fontId="30" fillId="7" borderId="13" xfId="0" applyFont="1" applyFill="1" applyBorder="1" applyAlignment="1"/>
    <xf numFmtId="0" fontId="0" fillId="7" borderId="0" xfId="0" applyFont="1" applyFill="1" applyAlignment="1"/>
    <xf numFmtId="0" fontId="0" fillId="3" borderId="0" xfId="0" applyFill="1"/>
    <xf numFmtId="2" fontId="0" fillId="0" borderId="0" xfId="0" applyNumberFormat="1"/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164" fontId="17" fillId="0" borderId="34" xfId="0" applyNumberFormat="1" applyFont="1" applyFill="1" applyBorder="1" applyAlignment="1" applyProtection="1">
      <alignment horizontal="right" vertical="center"/>
    </xf>
    <xf numFmtId="164" fontId="9" fillId="0" borderId="42" xfId="0" applyNumberFormat="1" applyFont="1" applyBorder="1" applyAlignment="1" applyProtection="1">
      <alignment horizontal="right" vertical="center"/>
    </xf>
    <xf numFmtId="164" fontId="9" fillId="0" borderId="41" xfId="0" applyNumberFormat="1" applyFont="1" applyBorder="1" applyAlignment="1" applyProtection="1">
      <alignment horizontal="right" vertical="center"/>
    </xf>
    <xf numFmtId="164" fontId="9" fillId="0" borderId="36" xfId="0" applyNumberFormat="1" applyFont="1" applyBorder="1" applyAlignment="1" applyProtection="1">
      <alignment horizontal="right" vertical="center"/>
    </xf>
    <xf numFmtId="164" fontId="9" fillId="0" borderId="35" xfId="0" applyNumberFormat="1" applyFont="1" applyBorder="1" applyAlignment="1" applyProtection="1">
      <alignment horizontal="right" vertical="center"/>
    </xf>
    <xf numFmtId="0" fontId="21" fillId="0" borderId="46" xfId="0" applyFont="1" applyBorder="1" applyAlignment="1" applyProtection="1">
      <alignment horizontal="center" vertical="center"/>
    </xf>
    <xf numFmtId="0" fontId="21" fillId="0" borderId="45" xfId="0" applyFont="1" applyBorder="1" applyAlignment="1" applyProtection="1">
      <alignment horizontal="center" vertical="center"/>
    </xf>
    <xf numFmtId="0" fontId="21" fillId="0" borderId="36" xfId="0" applyFont="1" applyBorder="1" applyAlignment="1" applyProtection="1">
      <alignment horizontal="center" vertical="center"/>
    </xf>
    <xf numFmtId="0" fontId="21" fillId="0" borderId="35" xfId="0" applyFont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 wrapText="1"/>
    </xf>
    <xf numFmtId="0" fontId="21" fillId="0" borderId="48" xfId="0" applyFont="1" applyBorder="1" applyAlignment="1" applyProtection="1">
      <alignment horizontal="center" vertical="center"/>
    </xf>
    <xf numFmtId="0" fontId="21" fillId="0" borderId="38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horizontal="center" vertical="center" wrapText="1"/>
    </xf>
    <xf numFmtId="0" fontId="14" fillId="0" borderId="31" xfId="0" applyFont="1" applyBorder="1" applyAlignment="1" applyProtection="1">
      <alignment horizontal="center" vertical="center" wrapText="1"/>
    </xf>
    <xf numFmtId="0" fontId="14" fillId="0" borderId="30" xfId="0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 wrapText="1"/>
    </xf>
    <xf numFmtId="14" fontId="3" fillId="0" borderId="2" xfId="0" applyNumberFormat="1" applyFont="1" applyBorder="1" applyAlignment="1" applyProtection="1">
      <alignment horizontal="left" vertical="center"/>
    </xf>
    <xf numFmtId="14" fontId="3" fillId="0" borderId="1" xfId="0" applyNumberFormat="1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62" xfId="0" applyFont="1" applyFill="1" applyBorder="1" applyAlignment="1" applyProtection="1">
      <alignment horizontal="left" vertical="center"/>
      <protection locked="0"/>
    </xf>
    <xf numFmtId="0" fontId="3" fillId="0" borderId="61" xfId="0" applyFont="1" applyFill="1" applyBorder="1" applyAlignment="1" applyProtection="1">
      <alignment horizontal="left" vertical="center"/>
      <protection locked="0"/>
    </xf>
    <xf numFmtId="0" fontId="3" fillId="0" borderId="42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26" fillId="0" borderId="59" xfId="0" applyFont="1" applyBorder="1" applyAlignment="1">
      <alignment horizontal="left"/>
    </xf>
    <xf numFmtId="0" fontId="26" fillId="0" borderId="58" xfId="0" applyFont="1" applyBorder="1" applyAlignment="1">
      <alignment horizontal="left"/>
    </xf>
    <xf numFmtId="164" fontId="9" fillId="0" borderId="46" xfId="0" applyNumberFormat="1" applyFont="1" applyBorder="1" applyAlignment="1" applyProtection="1">
      <alignment horizontal="right" vertical="center"/>
    </xf>
    <xf numFmtId="164" fontId="9" fillId="0" borderId="45" xfId="0" applyNumberFormat="1" applyFont="1" applyBorder="1" applyAlignment="1" applyProtection="1">
      <alignment horizontal="right" vertical="center"/>
    </xf>
    <xf numFmtId="0" fontId="3" fillId="0" borderId="65" xfId="0" applyFont="1" applyFill="1" applyBorder="1" applyAlignment="1" applyProtection="1">
      <alignment horizontal="left" vertical="center"/>
      <protection locked="0"/>
    </xf>
    <xf numFmtId="0" fontId="3" fillId="0" borderId="64" xfId="0" applyFont="1" applyFill="1" applyBorder="1" applyAlignment="1" applyProtection="1">
      <alignment horizontal="left" vertical="center"/>
      <protection locked="0"/>
    </xf>
    <xf numFmtId="0" fontId="3" fillId="0" borderId="63" xfId="0" applyFont="1" applyFill="1" applyBorder="1" applyAlignment="1" applyProtection="1">
      <alignment horizontal="left" vertical="center"/>
      <protection locked="0"/>
    </xf>
    <xf numFmtId="0" fontId="28" fillId="0" borderId="59" xfId="0" applyFont="1" applyBorder="1" applyAlignment="1">
      <alignment horizontal="left"/>
    </xf>
    <xf numFmtId="0" fontId="28" fillId="0" borderId="58" xfId="0" applyFont="1" applyBorder="1" applyAlignment="1">
      <alignment horizontal="left"/>
    </xf>
    <xf numFmtId="0" fontId="0" fillId="0" borderId="59" xfId="0" applyBorder="1" applyAlignment="1">
      <alignment horizontal="left"/>
    </xf>
    <xf numFmtId="0" fontId="0" fillId="0" borderId="58" xfId="0" applyBorder="1" applyAlignment="1">
      <alignment horizontal="left"/>
    </xf>
    <xf numFmtId="0" fontId="26" fillId="0" borderId="0" xfId="0" applyFont="1" applyAlignment="1" applyProtection="1">
      <alignment horizontal="center" vertical="center" wrapText="1"/>
    </xf>
    <xf numFmtId="0" fontId="26" fillId="0" borderId="56" xfId="0" applyFont="1" applyBorder="1" applyAlignment="1">
      <alignment horizontal="left"/>
    </xf>
    <xf numFmtId="0" fontId="26" fillId="0" borderId="55" xfId="0" applyFont="1" applyBorder="1" applyAlignment="1">
      <alignment horizontal="left"/>
    </xf>
    <xf numFmtId="0" fontId="14" fillId="0" borderId="33" xfId="0" applyFont="1" applyBorder="1" applyAlignment="1" applyProtection="1">
      <alignment horizontal="center" vertical="center" wrapText="1"/>
    </xf>
    <xf numFmtId="0" fontId="5" fillId="0" borderId="68" xfId="0" applyFont="1" applyBorder="1" applyAlignment="1">
      <alignment horizontal="center" vertical="top"/>
    </xf>
    <xf numFmtId="0" fontId="5" fillId="0" borderId="67" xfId="0" applyFont="1" applyBorder="1" applyAlignment="1">
      <alignment horizontal="center" vertical="top"/>
    </xf>
    <xf numFmtId="0" fontId="5" fillId="0" borderId="66" xfId="0" applyFont="1" applyBorder="1" applyAlignment="1">
      <alignment horizontal="center" vertical="top"/>
    </xf>
    <xf numFmtId="164" fontId="9" fillId="0" borderId="50" xfId="0" applyNumberFormat="1" applyFont="1" applyBorder="1" applyAlignment="1" applyProtection="1">
      <alignment horizontal="right" vertical="center"/>
    </xf>
    <xf numFmtId="164" fontId="9" fillId="0" borderId="49" xfId="0" applyNumberFormat="1" applyFont="1" applyBorder="1" applyAlignment="1" applyProtection="1">
      <alignment horizontal="right" vertical="center"/>
    </xf>
    <xf numFmtId="0" fontId="21" fillId="0" borderId="47" xfId="0" applyFont="1" applyBorder="1" applyAlignment="1" applyProtection="1">
      <alignment horizontal="center" vertical="center"/>
    </xf>
    <xf numFmtId="0" fontId="21" fillId="0" borderId="37" xfId="0" applyFont="1" applyBorder="1" applyAlignment="1" applyProtection="1">
      <alignment horizontal="center" vertical="center"/>
    </xf>
    <xf numFmtId="164" fontId="19" fillId="0" borderId="34" xfId="0" applyNumberFormat="1" applyFont="1" applyFill="1" applyBorder="1" applyAlignment="1" applyProtection="1">
      <alignment horizontal="right" vertical="center"/>
    </xf>
    <xf numFmtId="0" fontId="3" fillId="0" borderId="27" xfId="0" applyFont="1" applyBorder="1" applyAlignment="1" applyProtection="1">
      <alignment horizontal="left" vertical="center"/>
    </xf>
    <xf numFmtId="0" fontId="3" fillId="0" borderId="26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center" vertical="center"/>
    </xf>
    <xf numFmtId="164" fontId="9" fillId="0" borderId="40" xfId="0" applyNumberFormat="1" applyFont="1" applyBorder="1" applyAlignment="1" applyProtection="1">
      <alignment horizontal="right" vertical="center"/>
    </xf>
    <xf numFmtId="164" fontId="9" fillId="0" borderId="39" xfId="0" applyNumberFormat="1" applyFont="1" applyBorder="1" applyAlignment="1" applyProtection="1">
      <alignment horizontal="right" vertical="center"/>
    </xf>
    <xf numFmtId="0" fontId="26" fillId="0" borderId="53" xfId="0" applyFont="1" applyBorder="1" applyAlignment="1">
      <alignment horizontal="left"/>
    </xf>
    <xf numFmtId="0" fontId="26" fillId="0" borderId="52" xfId="0" applyFont="1" applyBorder="1" applyAlignment="1">
      <alignment horizontal="left"/>
    </xf>
    <xf numFmtId="0" fontId="2" fillId="0" borderId="2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</cellXfs>
  <cellStyles count="1">
    <cellStyle name="Standard" xfId="0" builtinId="0"/>
  </cellStyles>
  <dxfs count="4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</dxf>
    <dxf>
      <font>
        <b/>
        <i val="0"/>
      </font>
    </dxf>
    <dxf>
      <font>
        <b/>
        <i val="0"/>
      </font>
    </dxf>
    <dxf>
      <font>
        <color theme="0" tint="-0.34998626667073579"/>
      </font>
    </dxf>
    <dxf>
      <font>
        <color theme="1" tint="0.499984740745262"/>
      </font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</dxf>
    <dxf>
      <font>
        <b/>
        <i val="0"/>
      </font>
    </dxf>
    <dxf>
      <font>
        <b/>
        <i val="0"/>
      </font>
    </dxf>
    <dxf>
      <font>
        <color theme="0" tint="-0.34998626667073579"/>
      </font>
    </dxf>
    <dxf>
      <font>
        <color theme="1" tint="0.499984740745262"/>
      </font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Radio" lockText="1"/>
</file>

<file path=xl/ctrlProps/ctrlProp12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Z$18" lockText="1"/>
</file>

<file path=xl/ctrlProps/ctrlProp15.xml><?xml version="1.0" encoding="utf-8"?>
<formControlPr xmlns="http://schemas.microsoft.com/office/spreadsheetml/2009/9/main" objectType="Radio" checked="Checked" lockText="1"/>
</file>

<file path=xl/ctrlProps/ctrlProp16.xml><?xml version="1.0" encoding="utf-8"?>
<formControlPr xmlns="http://schemas.microsoft.com/office/spreadsheetml/2009/9/main" objectType="Radio" firstButton="1" fmlaLink="$Z$20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firstButton="1" fmlaLink="$Z$12" lockText="1"/>
</file>

<file path=xl/ctrlProps/ctrlProp19.xml><?xml version="1.0" encoding="utf-8"?>
<formControlPr xmlns="http://schemas.microsoft.com/office/spreadsheetml/2009/9/main" objectType="Radio" checked="Checked" lockText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firstButton="1" fmlaLink="$Z$7"/>
</file>

<file path=xl/ctrlProps/ctrlProp21.xml><?xml version="1.0" encoding="utf-8"?>
<formControlPr xmlns="http://schemas.microsoft.com/office/spreadsheetml/2009/9/main" objectType="Radio"/>
</file>

<file path=xl/ctrlProps/ctrlProp22.xml><?xml version="1.0" encoding="utf-8"?>
<formControlPr xmlns="http://schemas.microsoft.com/office/spreadsheetml/2009/9/main" objectType="Radio" checked="Checked"/>
</file>

<file path=xl/ctrlProps/ctrlProp23.xml><?xml version="1.0" encoding="utf-8"?>
<formControlPr xmlns="http://schemas.microsoft.com/office/spreadsheetml/2009/9/main" objectType="Radio"/>
</file>

<file path=xl/ctrlProps/ctrlProp24.xml><?xml version="1.0" encoding="utf-8"?>
<formControlPr xmlns="http://schemas.microsoft.com/office/spreadsheetml/2009/9/main" objectType="Radio"/>
</file>

<file path=xl/ctrlProps/ctrlProp25.xml><?xml version="1.0" encoding="utf-8"?>
<formControlPr xmlns="http://schemas.microsoft.com/office/spreadsheetml/2009/9/main" objectType="Radio"/>
</file>

<file path=xl/ctrlProps/ctrlProp26.xml><?xml version="1.0" encoding="utf-8"?>
<formControlPr xmlns="http://schemas.microsoft.com/office/spreadsheetml/2009/9/main" objectType="Radio"/>
</file>

<file path=xl/ctrlProps/ctrlProp27.xml><?xml version="1.0" encoding="utf-8"?>
<formControlPr xmlns="http://schemas.microsoft.com/office/spreadsheetml/2009/9/main" objectType="Radio"/>
</file>

<file path=xl/ctrlProps/ctrlProp28.xml><?xml version="1.0" encoding="utf-8"?>
<formControlPr xmlns="http://schemas.microsoft.com/office/spreadsheetml/2009/9/main" objectType="Radio"/>
</file>

<file path=xl/ctrlProps/ctrlProp29.xml><?xml version="1.0" encoding="utf-8"?>
<formControlPr xmlns="http://schemas.microsoft.com/office/spreadsheetml/2009/9/main" objectType="Radio"/>
</file>

<file path=xl/ctrlProps/ctrlProp3.xml><?xml version="1.0" encoding="utf-8"?>
<formControlPr xmlns="http://schemas.microsoft.com/office/spreadsheetml/2009/9/main" objectType="Radio" firstButton="1" fmlaLink="$Z$20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/>
</file>

<file path=xl/ctrlProps/ctrlProp32.xml><?xml version="1.0" encoding="utf-8"?>
<formControlPr xmlns="http://schemas.microsoft.com/office/spreadsheetml/2009/9/main" objectType="Radio"/>
</file>

<file path=xl/ctrlProps/ctrlProp33.xml><?xml version="1.0" encoding="utf-8"?>
<formControlPr xmlns="http://schemas.microsoft.com/office/spreadsheetml/2009/9/main" objectType="Radio"/>
</file>

<file path=xl/ctrlProps/ctrlProp34.xml><?xml version="1.0" encoding="utf-8"?>
<formControlPr xmlns="http://schemas.microsoft.com/office/spreadsheetml/2009/9/main" objectType="Radio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Radio" firstButton="1" fmlaLink="$Z$15" lockText="1"/>
</file>

<file path=xl/ctrlProps/ctrlProp37.xml><?xml version="1.0" encoding="utf-8"?>
<formControlPr xmlns="http://schemas.microsoft.com/office/spreadsheetml/2009/9/main" objectType="Radio" lockText="1"/>
</file>

<file path=xl/ctrlProps/ctrlProp38.xml><?xml version="1.0" encoding="utf-8"?>
<formControlPr xmlns="http://schemas.microsoft.com/office/spreadsheetml/2009/9/main" objectType="Radio"/>
</file>

<file path=xl/ctrlProps/ctrlProp39.xml><?xml version="1.0" encoding="utf-8"?>
<formControlPr xmlns="http://schemas.microsoft.com/office/spreadsheetml/2009/9/main" objectType="Radio"/>
</file>

<file path=xl/ctrlProps/ctrlProp4.xml><?xml version="1.0" encoding="utf-8"?>
<formControlPr xmlns="http://schemas.microsoft.com/office/spreadsheetml/2009/9/main" objectType="Radio"/>
</file>

<file path=xl/ctrlProps/ctrlProp40.xml><?xml version="1.0" encoding="utf-8"?>
<formControlPr xmlns="http://schemas.microsoft.com/office/spreadsheetml/2009/9/main" objectType="Radio"/>
</file>

<file path=xl/ctrlProps/ctrlProp41.xml><?xml version="1.0" encoding="utf-8"?>
<formControlPr xmlns="http://schemas.microsoft.com/office/spreadsheetml/2009/9/main" objectType="Radio"/>
</file>

<file path=xl/ctrlProps/ctrlProp42.xml><?xml version="1.0" encoding="utf-8"?>
<formControlPr xmlns="http://schemas.microsoft.com/office/spreadsheetml/2009/9/main" objectType="Radio"/>
</file>

<file path=xl/ctrlProps/ctrlProp43.xml><?xml version="1.0" encoding="utf-8"?>
<formControlPr xmlns="http://schemas.microsoft.com/office/spreadsheetml/2009/9/main" objectType="Radio" lockText="1"/>
</file>

<file path=xl/ctrlProps/ctrlProp44.xml><?xml version="1.0" encoding="utf-8"?>
<formControlPr xmlns="http://schemas.microsoft.com/office/spreadsheetml/2009/9/main" objectType="Radio"/>
</file>

<file path=xl/ctrlProps/ctrlProp45.xml><?xml version="1.0" encoding="utf-8"?>
<formControlPr xmlns="http://schemas.microsoft.com/office/spreadsheetml/2009/9/main" objectType="Radio"/>
</file>

<file path=xl/ctrlProps/ctrlProp46.xml><?xml version="1.0" encoding="utf-8"?>
<formControlPr xmlns="http://schemas.microsoft.com/office/spreadsheetml/2009/9/main" objectType="Radio"/>
</file>

<file path=xl/ctrlProps/ctrlProp47.xml><?xml version="1.0" encoding="utf-8"?>
<formControlPr xmlns="http://schemas.microsoft.com/office/spreadsheetml/2009/9/main" objectType="Radio"/>
</file>

<file path=xl/ctrlProps/ctrlProp48.xml><?xml version="1.0" encoding="utf-8"?>
<formControlPr xmlns="http://schemas.microsoft.com/office/spreadsheetml/2009/9/main" objectType="Radio"/>
</file>

<file path=xl/ctrlProps/ctrlProp49.xml><?xml version="1.0" encoding="utf-8"?>
<formControlPr xmlns="http://schemas.microsoft.com/office/spreadsheetml/2009/9/main" objectType="Radio"/>
</file>

<file path=xl/ctrlProps/ctrlProp5.xml><?xml version="1.0" encoding="utf-8"?>
<formControlPr xmlns="http://schemas.microsoft.com/office/spreadsheetml/2009/9/main" objectType="Radio"/>
</file>

<file path=xl/ctrlProps/ctrlProp50.xml><?xml version="1.0" encoding="utf-8"?>
<formControlPr xmlns="http://schemas.microsoft.com/office/spreadsheetml/2009/9/main" objectType="Radio"/>
</file>

<file path=xl/ctrlProps/ctrlProp51.xml><?xml version="1.0" encoding="utf-8"?>
<formControlPr xmlns="http://schemas.microsoft.com/office/spreadsheetml/2009/9/main" objectType="Radio"/>
</file>

<file path=xl/ctrlProps/ctrlProp52.xml><?xml version="1.0" encoding="utf-8"?>
<formControlPr xmlns="http://schemas.microsoft.com/office/spreadsheetml/2009/9/main" objectType="Radio"/>
</file>

<file path=xl/ctrlProps/ctrlProp53.xml><?xml version="1.0" encoding="utf-8"?>
<formControlPr xmlns="http://schemas.microsoft.com/office/spreadsheetml/2009/9/main" objectType="Radio"/>
</file>

<file path=xl/ctrlProps/ctrlProp54.xml><?xml version="1.0" encoding="utf-8"?>
<formControlPr xmlns="http://schemas.microsoft.com/office/spreadsheetml/2009/9/main" objectType="Radio"/>
</file>

<file path=xl/ctrlProps/ctrlProp55.xml><?xml version="1.0" encoding="utf-8"?>
<formControlPr xmlns="http://schemas.microsoft.com/office/spreadsheetml/2009/9/main" objectType="Radio"/>
</file>

<file path=xl/ctrlProps/ctrlProp56.xml><?xml version="1.0" encoding="utf-8"?>
<formControlPr xmlns="http://schemas.microsoft.com/office/spreadsheetml/2009/9/main" objectType="Radio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Radio" firstButton="1" fmlaLink="$Z$20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/>
</file>

<file path=xl/ctrlProps/ctrlProp61.xml><?xml version="1.0" encoding="utf-8"?>
<formControlPr xmlns="http://schemas.microsoft.com/office/spreadsheetml/2009/9/main" objectType="Radio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Radio" firstButton="1" fmlaLink="$Z$8" lockText="1"/>
</file>

<file path=xl/ctrlProps/ctrlProp64.xml><?xml version="1.0" encoding="utf-8"?>
<formControlPr xmlns="http://schemas.microsoft.com/office/spreadsheetml/2009/9/main" objectType="Radio" lockText="1"/>
</file>

<file path=xl/ctrlProps/ctrlProp65.xml><?xml version="1.0" encoding="utf-8"?>
<formControlPr xmlns="http://schemas.microsoft.com/office/spreadsheetml/2009/9/main" objectType="Radio" checked="Checked" firstButton="1" fmlaLink="$Z$10" lockText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Radio" firstButton="1" fmlaLink="$Z$18" lockText="1"/>
</file>

<file path=xl/ctrlProps/ctrlProp68.xml><?xml version="1.0" encoding="utf-8"?>
<formControlPr xmlns="http://schemas.microsoft.com/office/spreadsheetml/2009/9/main" objectType="Radio" lockText="1"/>
</file>

<file path=xl/ctrlProps/ctrlProp69.xml><?xml version="1.0" encoding="utf-8"?>
<formControlPr xmlns="http://schemas.microsoft.com/office/spreadsheetml/2009/9/main" objectType="Radio" firstButton="1" fmlaLink="$Z$20"/>
</file>

<file path=xl/ctrlProps/ctrlProp7.xml><?xml version="1.0" encoding="utf-8"?>
<formControlPr xmlns="http://schemas.microsoft.com/office/spreadsheetml/2009/9/main" objectType="Radio" firstButton="1" fmlaLink="$Z$8" lockText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Radio" firstButton="1" fmlaLink="$Z$12" lockText="1"/>
</file>

<file path=xl/ctrlProps/ctrlProp72.xml><?xml version="1.0" encoding="utf-8"?>
<formControlPr xmlns="http://schemas.microsoft.com/office/spreadsheetml/2009/9/main" objectType="Radio" lockText="1"/>
</file>

<file path=xl/ctrlProps/ctrlProp73.xml><?xml version="1.0" encoding="utf-8"?>
<formControlPr xmlns="http://schemas.microsoft.com/office/spreadsheetml/2009/9/main" objectType="Radio" firstButton="1" fmlaLink="$Z$7"/>
</file>

<file path=xl/ctrlProps/ctrlProp74.xml><?xml version="1.0" encoding="utf-8"?>
<formControlPr xmlns="http://schemas.microsoft.com/office/spreadsheetml/2009/9/main" objectType="Radio"/>
</file>

<file path=xl/ctrlProps/ctrlProp75.xml><?xml version="1.0" encoding="utf-8"?>
<formControlPr xmlns="http://schemas.microsoft.com/office/spreadsheetml/2009/9/main" objectType="Radio" checked="Checked"/>
</file>

<file path=xl/ctrlProps/ctrlProp76.xml><?xml version="1.0" encoding="utf-8"?>
<formControlPr xmlns="http://schemas.microsoft.com/office/spreadsheetml/2009/9/main" objectType="Radio"/>
</file>

<file path=xl/ctrlProps/ctrlProp77.xml><?xml version="1.0" encoding="utf-8"?>
<formControlPr xmlns="http://schemas.microsoft.com/office/spreadsheetml/2009/9/main" objectType="Radio"/>
</file>

<file path=xl/ctrlProps/ctrlProp78.xml><?xml version="1.0" encoding="utf-8"?>
<formControlPr xmlns="http://schemas.microsoft.com/office/spreadsheetml/2009/9/main" objectType="Radio"/>
</file>

<file path=xl/ctrlProps/ctrlProp79.xml><?xml version="1.0" encoding="utf-8"?>
<formControlPr xmlns="http://schemas.microsoft.com/office/spreadsheetml/2009/9/main" objectType="Radio"/>
</file>

<file path=xl/ctrlProps/ctrlProp8.xml><?xml version="1.0" encoding="utf-8"?>
<formControlPr xmlns="http://schemas.microsoft.com/office/spreadsheetml/2009/9/main" objectType="Radio" lockText="1"/>
</file>

<file path=xl/ctrlProps/ctrlProp80.xml><?xml version="1.0" encoding="utf-8"?>
<formControlPr xmlns="http://schemas.microsoft.com/office/spreadsheetml/2009/9/main" objectType="Radio"/>
</file>

<file path=xl/ctrlProps/ctrlProp81.xml><?xml version="1.0" encoding="utf-8"?>
<formControlPr xmlns="http://schemas.microsoft.com/office/spreadsheetml/2009/9/main" objectType="Radio"/>
</file>

<file path=xl/ctrlProps/ctrlProp82.xml><?xml version="1.0" encoding="utf-8"?>
<formControlPr xmlns="http://schemas.microsoft.com/office/spreadsheetml/2009/9/main" objectType="Radio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Radio"/>
</file>

<file path=xl/ctrlProps/ctrlProp85.xml><?xml version="1.0" encoding="utf-8"?>
<formControlPr xmlns="http://schemas.microsoft.com/office/spreadsheetml/2009/9/main" objectType="Radio"/>
</file>

<file path=xl/ctrlProps/ctrlProp86.xml><?xml version="1.0" encoding="utf-8"?>
<formControlPr xmlns="http://schemas.microsoft.com/office/spreadsheetml/2009/9/main" objectType="Radio"/>
</file>

<file path=xl/ctrlProps/ctrlProp87.xml><?xml version="1.0" encoding="utf-8"?>
<formControlPr xmlns="http://schemas.microsoft.com/office/spreadsheetml/2009/9/main" objectType="Radio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Radio" firstButton="1" fmlaLink="$Z$15" lockText="1"/>
</file>

<file path=xl/ctrlProps/ctrlProp9.xml><?xml version="1.0" encoding="utf-8"?>
<formControlPr xmlns="http://schemas.microsoft.com/office/spreadsheetml/2009/9/main" objectType="Radio" checked="Checked" firstButton="1" fmlaLink="$Z$10" lockText="1"/>
</file>

<file path=xl/ctrlProps/ctrlProp90.xml><?xml version="1.0" encoding="utf-8"?>
<formControlPr xmlns="http://schemas.microsoft.com/office/spreadsheetml/2009/9/main" objectType="Radio" lockText="1"/>
</file>

<file path=xl/ctrlProps/ctrlProp91.xml><?xml version="1.0" encoding="utf-8"?>
<formControlPr xmlns="http://schemas.microsoft.com/office/spreadsheetml/2009/9/main" objectType="Radio"/>
</file>

<file path=xl/ctrlProps/ctrlProp92.xml><?xml version="1.0" encoding="utf-8"?>
<formControlPr xmlns="http://schemas.microsoft.com/office/spreadsheetml/2009/9/main" objectType="Radio"/>
</file>

<file path=xl/ctrlProps/ctrlProp93.xml><?xml version="1.0" encoding="utf-8"?>
<formControlPr xmlns="http://schemas.microsoft.com/office/spreadsheetml/2009/9/main" objectType="Radio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26" Type="http://schemas.openxmlformats.org/officeDocument/2006/relationships/image" Target="../media/image27.png"/><Relationship Id="rId39" Type="http://schemas.openxmlformats.org/officeDocument/2006/relationships/image" Target="../media/image40.png"/><Relationship Id="rId3" Type="http://schemas.openxmlformats.org/officeDocument/2006/relationships/image" Target="../media/image4.jpeg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png"/><Relationship Id="rId10" Type="http://schemas.openxmlformats.org/officeDocument/2006/relationships/image" Target="../media/image11.jpeg"/><Relationship Id="rId19" Type="http://schemas.openxmlformats.org/officeDocument/2006/relationships/image" Target="../media/image20.png"/><Relationship Id="rId31" Type="http://schemas.openxmlformats.org/officeDocument/2006/relationships/image" Target="../media/image32.png"/><Relationship Id="rId4" Type="http://schemas.openxmlformats.org/officeDocument/2006/relationships/image" Target="../media/image5.emf"/><Relationship Id="rId9" Type="http://schemas.openxmlformats.org/officeDocument/2006/relationships/image" Target="../media/image10.jpeg"/><Relationship Id="rId14" Type="http://schemas.openxmlformats.org/officeDocument/2006/relationships/image" Target="../media/image15.jpe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png"/><Relationship Id="rId35" Type="http://schemas.openxmlformats.org/officeDocument/2006/relationships/image" Target="../media/image3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13" Type="http://schemas.openxmlformats.org/officeDocument/2006/relationships/image" Target="../media/image16.jpeg"/><Relationship Id="rId18" Type="http://schemas.openxmlformats.org/officeDocument/2006/relationships/image" Target="../media/image21.png"/><Relationship Id="rId26" Type="http://schemas.openxmlformats.org/officeDocument/2006/relationships/image" Target="../media/image29.png"/><Relationship Id="rId39" Type="http://schemas.openxmlformats.org/officeDocument/2006/relationships/image" Target="../media/image41.png"/><Relationship Id="rId3" Type="http://schemas.openxmlformats.org/officeDocument/2006/relationships/image" Target="../media/image6.jpeg"/><Relationship Id="rId21" Type="http://schemas.openxmlformats.org/officeDocument/2006/relationships/image" Target="../media/image24.png"/><Relationship Id="rId34" Type="http://schemas.openxmlformats.org/officeDocument/2006/relationships/image" Target="../media/image38.png"/><Relationship Id="rId7" Type="http://schemas.openxmlformats.org/officeDocument/2006/relationships/image" Target="../media/image10.jpeg"/><Relationship Id="rId12" Type="http://schemas.openxmlformats.org/officeDocument/2006/relationships/image" Target="../media/image15.jpeg"/><Relationship Id="rId17" Type="http://schemas.openxmlformats.org/officeDocument/2006/relationships/image" Target="../media/image20.png"/><Relationship Id="rId25" Type="http://schemas.openxmlformats.org/officeDocument/2006/relationships/image" Target="../media/image28.png"/><Relationship Id="rId33" Type="http://schemas.openxmlformats.org/officeDocument/2006/relationships/image" Target="../media/image37.png"/><Relationship Id="rId38" Type="http://schemas.openxmlformats.org/officeDocument/2006/relationships/image" Target="../media/image44.png"/><Relationship Id="rId2" Type="http://schemas.openxmlformats.org/officeDocument/2006/relationships/image" Target="../media/image5.emf"/><Relationship Id="rId16" Type="http://schemas.openxmlformats.org/officeDocument/2006/relationships/image" Target="../media/image19.jpeg"/><Relationship Id="rId20" Type="http://schemas.openxmlformats.org/officeDocument/2006/relationships/image" Target="../media/image23.png"/><Relationship Id="rId29" Type="http://schemas.openxmlformats.org/officeDocument/2006/relationships/image" Target="../media/image32.png"/><Relationship Id="rId1" Type="http://schemas.openxmlformats.org/officeDocument/2006/relationships/image" Target="../media/image2.png"/><Relationship Id="rId6" Type="http://schemas.openxmlformats.org/officeDocument/2006/relationships/image" Target="../media/image9.jpeg"/><Relationship Id="rId11" Type="http://schemas.openxmlformats.org/officeDocument/2006/relationships/image" Target="../media/image14.jpeg"/><Relationship Id="rId24" Type="http://schemas.openxmlformats.org/officeDocument/2006/relationships/image" Target="../media/image27.png"/><Relationship Id="rId32" Type="http://schemas.openxmlformats.org/officeDocument/2006/relationships/image" Target="../media/image34.png"/><Relationship Id="rId37" Type="http://schemas.openxmlformats.org/officeDocument/2006/relationships/image" Target="../media/image43.png"/><Relationship Id="rId5" Type="http://schemas.openxmlformats.org/officeDocument/2006/relationships/image" Target="../media/image8.jpeg"/><Relationship Id="rId15" Type="http://schemas.openxmlformats.org/officeDocument/2006/relationships/image" Target="../media/image18.jpe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36" Type="http://schemas.openxmlformats.org/officeDocument/2006/relationships/image" Target="../media/image42.png"/><Relationship Id="rId10" Type="http://schemas.openxmlformats.org/officeDocument/2006/relationships/image" Target="../media/image13.jpeg"/><Relationship Id="rId19" Type="http://schemas.openxmlformats.org/officeDocument/2006/relationships/image" Target="../media/image22.png"/><Relationship Id="rId31" Type="http://schemas.openxmlformats.org/officeDocument/2006/relationships/image" Target="../media/image4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Relationship Id="rId14" Type="http://schemas.openxmlformats.org/officeDocument/2006/relationships/image" Target="../media/image17.jpeg"/><Relationship Id="rId22" Type="http://schemas.openxmlformats.org/officeDocument/2006/relationships/image" Target="../media/image25.png"/><Relationship Id="rId27" Type="http://schemas.openxmlformats.org/officeDocument/2006/relationships/image" Target="../media/image30.png"/><Relationship Id="rId30" Type="http://schemas.openxmlformats.org/officeDocument/2006/relationships/image" Target="../media/image33.png"/><Relationship Id="rId35" Type="http://schemas.openxmlformats.org/officeDocument/2006/relationships/image" Target="../media/image3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494472</xdr:colOff>
      <xdr:row>0</xdr:row>
      <xdr:rowOff>257175</xdr:rowOff>
    </xdr:from>
    <xdr:ext cx="1248603" cy="1295400"/>
    <xdr:pic>
      <xdr:nvPicPr>
        <xdr:cNvPr id="2" name="Grafik 4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13497" y="190500"/>
          <a:ext cx="1248603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10</xdr:row>
          <xdr:rowOff>0</xdr:rowOff>
        </xdr:from>
        <xdr:to>
          <xdr:col>19</xdr:col>
          <xdr:colOff>0</xdr:colOff>
          <xdr:row>12</xdr:row>
          <xdr:rowOff>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19</xdr:row>
          <xdr:rowOff>0</xdr:rowOff>
        </xdr:from>
        <xdr:to>
          <xdr:col>15</xdr:col>
          <xdr:colOff>0</xdr:colOff>
          <xdr:row>24</xdr:row>
          <xdr:rowOff>0</xdr:rowOff>
        </xdr:to>
        <xdr:sp macro="" textlink="">
          <xdr:nvSpPr>
            <xdr:cNvPr id="1026" name="Group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19050</xdr:rowOff>
        </xdr:from>
        <xdr:to>
          <xdr:col>2</xdr:col>
          <xdr:colOff>447675</xdr:colOff>
          <xdr:row>20</xdr:row>
          <xdr:rowOff>180975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21</xdr:row>
          <xdr:rowOff>19050</xdr:rowOff>
        </xdr:from>
        <xdr:to>
          <xdr:col>2</xdr:col>
          <xdr:colOff>447675</xdr:colOff>
          <xdr:row>21</xdr:row>
          <xdr:rowOff>180975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22</xdr:row>
          <xdr:rowOff>28575</xdr:rowOff>
        </xdr:from>
        <xdr:to>
          <xdr:col>2</xdr:col>
          <xdr:colOff>447675</xdr:colOff>
          <xdr:row>23</xdr:row>
          <xdr:rowOff>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7</xdr:row>
          <xdr:rowOff>0</xdr:rowOff>
        </xdr:from>
        <xdr:to>
          <xdr:col>19</xdr:col>
          <xdr:colOff>0</xdr:colOff>
          <xdr:row>9</xdr:row>
          <xdr:rowOff>0</xdr:rowOff>
        </xdr:to>
        <xdr:sp macro="" textlink="">
          <xdr:nvSpPr>
            <xdr:cNvPr id="1030" name="Group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428625</xdr:colOff>
          <xdr:row>8</xdr:row>
          <xdr:rowOff>19050</xdr:rowOff>
        </xdr:from>
        <xdr:to>
          <xdr:col>12</xdr:col>
          <xdr:colOff>466725</xdr:colOff>
          <xdr:row>8</xdr:row>
          <xdr:rowOff>180975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8</xdr:row>
          <xdr:rowOff>19050</xdr:rowOff>
        </xdr:from>
        <xdr:to>
          <xdr:col>18</xdr:col>
          <xdr:colOff>38100</xdr:colOff>
          <xdr:row>9</xdr:row>
          <xdr:rowOff>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11</xdr:col>
          <xdr:colOff>447675</xdr:colOff>
          <xdr:row>11</xdr:row>
          <xdr:rowOff>180975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419100</xdr:colOff>
          <xdr:row>11</xdr:row>
          <xdr:rowOff>19050</xdr:rowOff>
        </xdr:from>
        <xdr:to>
          <xdr:col>14</xdr:col>
          <xdr:colOff>0</xdr:colOff>
          <xdr:row>12</xdr:row>
          <xdr:rowOff>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512063</xdr:colOff>
      <xdr:row>0</xdr:row>
      <xdr:rowOff>304801</xdr:rowOff>
    </xdr:from>
    <xdr:ext cx="2632002" cy="1181100"/>
    <xdr:pic>
      <xdr:nvPicPr>
        <xdr:cNvPr id="13" name="Grafik 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73" b="17094"/>
        <a:stretch/>
      </xdr:blipFill>
      <xdr:spPr bwMode="auto">
        <a:xfrm>
          <a:off x="4893563" y="304801"/>
          <a:ext cx="2632002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428625</xdr:colOff>
          <xdr:row>11</xdr:row>
          <xdr:rowOff>19050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11</xdr:row>
          <xdr:rowOff>19050</xdr:rowOff>
        </xdr:from>
        <xdr:to>
          <xdr:col>18</xdr:col>
          <xdr:colOff>0</xdr:colOff>
          <xdr:row>12</xdr:row>
          <xdr:rowOff>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16</xdr:row>
          <xdr:rowOff>0</xdr:rowOff>
        </xdr:from>
        <xdr:to>
          <xdr:col>19</xdr:col>
          <xdr:colOff>0</xdr:colOff>
          <xdr:row>18</xdr:row>
          <xdr:rowOff>0</xdr:rowOff>
        </xdr:to>
        <xdr:sp macro="" textlink="">
          <xdr:nvSpPr>
            <xdr:cNvPr id="1037" name="Group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428625</xdr:colOff>
          <xdr:row>17</xdr:row>
          <xdr:rowOff>28575</xdr:rowOff>
        </xdr:from>
        <xdr:to>
          <xdr:col>15</xdr:col>
          <xdr:colOff>314325</xdr:colOff>
          <xdr:row>18</xdr:row>
          <xdr:rowOff>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17</xdr:row>
          <xdr:rowOff>28575</xdr:rowOff>
        </xdr:from>
        <xdr:to>
          <xdr:col>17</xdr:col>
          <xdr:colOff>323850</xdr:colOff>
          <xdr:row>18</xdr:row>
          <xdr:rowOff>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352425</xdr:colOff>
          <xdr:row>20</xdr:row>
          <xdr:rowOff>0</xdr:rowOff>
        </xdr:from>
        <xdr:to>
          <xdr:col>18</xdr:col>
          <xdr:colOff>400050</xdr:colOff>
          <xdr:row>20</xdr:row>
          <xdr:rowOff>47625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13</xdr:row>
          <xdr:rowOff>0</xdr:rowOff>
        </xdr:from>
        <xdr:to>
          <xdr:col>13</xdr:col>
          <xdr:colOff>0</xdr:colOff>
          <xdr:row>14</xdr:row>
          <xdr:rowOff>0</xdr:rowOff>
        </xdr:to>
        <xdr:sp macro="" textlink="">
          <xdr:nvSpPr>
            <xdr:cNvPr id="1041" name="Group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428625</xdr:colOff>
          <xdr:row>13</xdr:row>
          <xdr:rowOff>28575</xdr:rowOff>
        </xdr:from>
        <xdr:to>
          <xdr:col>11</xdr:col>
          <xdr:colOff>314325</xdr:colOff>
          <xdr:row>14</xdr:row>
          <xdr:rowOff>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438150</xdr:colOff>
          <xdr:row>13</xdr:row>
          <xdr:rowOff>28575</xdr:rowOff>
        </xdr:from>
        <xdr:to>
          <xdr:col>12</xdr:col>
          <xdr:colOff>323850</xdr:colOff>
          <xdr:row>14</xdr:row>
          <xdr:rowOff>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361950</xdr:colOff>
      <xdr:row>64</xdr:row>
      <xdr:rowOff>19009</xdr:rowOff>
    </xdr:from>
    <xdr:to>
      <xdr:col>7</xdr:col>
      <xdr:colOff>242419</xdr:colOff>
      <xdr:row>64</xdr:row>
      <xdr:rowOff>305141</xdr:rowOff>
    </xdr:to>
    <xdr:pic>
      <xdr:nvPicPr>
        <xdr:cNvPr id="23" name="Grafik 1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3" t="15510" r="13074" b="10428"/>
        <a:stretch/>
      </xdr:blipFill>
      <xdr:spPr bwMode="auto">
        <a:xfrm>
          <a:off x="3581400" y="12211009"/>
          <a:ext cx="461494" cy="171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435420</xdr:colOff>
      <xdr:row>69</xdr:row>
      <xdr:rowOff>10858</xdr:rowOff>
    </xdr:from>
    <xdr:ext cx="321279" cy="299253"/>
    <xdr:pic>
      <xdr:nvPicPr>
        <xdr:cNvPr id="24" name="Grafik 4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50" t="8247" r="20407" b="11340"/>
        <a:stretch>
          <a:fillRect/>
        </a:stretch>
      </xdr:blipFill>
      <xdr:spPr bwMode="auto">
        <a:xfrm>
          <a:off x="3654870" y="13155358"/>
          <a:ext cx="321279" cy="299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435555</xdr:colOff>
      <xdr:row>70</xdr:row>
      <xdr:rowOff>10890</xdr:rowOff>
    </xdr:from>
    <xdr:ext cx="321074" cy="298674"/>
    <xdr:pic>
      <xdr:nvPicPr>
        <xdr:cNvPr id="25" name="Grafik 4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50" t="8247" r="20407" b="11340"/>
        <a:stretch>
          <a:fillRect/>
        </a:stretch>
      </xdr:blipFill>
      <xdr:spPr bwMode="auto">
        <a:xfrm>
          <a:off x="3655005" y="13345890"/>
          <a:ext cx="321074" cy="29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435555</xdr:colOff>
      <xdr:row>71</xdr:row>
      <xdr:rowOff>10890</xdr:rowOff>
    </xdr:from>
    <xdr:ext cx="321074" cy="298674"/>
    <xdr:pic>
      <xdr:nvPicPr>
        <xdr:cNvPr id="26" name="Grafik 4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50" t="8247" r="20407" b="11340"/>
        <a:stretch>
          <a:fillRect/>
        </a:stretch>
      </xdr:blipFill>
      <xdr:spPr bwMode="auto">
        <a:xfrm>
          <a:off x="3655005" y="13536390"/>
          <a:ext cx="321074" cy="29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435555</xdr:colOff>
      <xdr:row>72</xdr:row>
      <xdr:rowOff>10890</xdr:rowOff>
    </xdr:from>
    <xdr:ext cx="321074" cy="298674"/>
    <xdr:pic>
      <xdr:nvPicPr>
        <xdr:cNvPr id="27" name="Grafik 4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50" t="8247" r="20407" b="11340"/>
        <a:stretch>
          <a:fillRect/>
        </a:stretch>
      </xdr:blipFill>
      <xdr:spPr bwMode="auto">
        <a:xfrm>
          <a:off x="3655005" y="13726890"/>
          <a:ext cx="321074" cy="29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370011</xdr:colOff>
      <xdr:row>75</xdr:row>
      <xdr:rowOff>18546</xdr:rowOff>
    </xdr:from>
    <xdr:ext cx="333424" cy="291017"/>
    <xdr:pic>
      <xdr:nvPicPr>
        <xdr:cNvPr id="28" name="Grafik 2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461" y="14306046"/>
          <a:ext cx="333424" cy="29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486481</xdr:colOff>
      <xdr:row>76</xdr:row>
      <xdr:rowOff>30158</xdr:rowOff>
    </xdr:from>
    <xdr:ext cx="187619" cy="267498"/>
    <xdr:pic>
      <xdr:nvPicPr>
        <xdr:cNvPr id="29" name="Grafik 2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931" y="14508158"/>
          <a:ext cx="187619" cy="267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415926</xdr:colOff>
      <xdr:row>77</xdr:row>
      <xdr:rowOff>19671</xdr:rowOff>
    </xdr:from>
    <xdr:ext cx="324209" cy="277986"/>
    <xdr:pic>
      <xdr:nvPicPr>
        <xdr:cNvPr id="30" name="Grafik 23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5376" y="14688171"/>
          <a:ext cx="324209" cy="277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392115</xdr:colOff>
      <xdr:row>78</xdr:row>
      <xdr:rowOff>18083</xdr:rowOff>
    </xdr:from>
    <xdr:ext cx="376051" cy="285529"/>
    <xdr:pic>
      <xdr:nvPicPr>
        <xdr:cNvPr id="31" name="Grafik 2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656826" y="14831822"/>
          <a:ext cx="285529" cy="376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411162</xdr:colOff>
      <xdr:row>80</xdr:row>
      <xdr:rowOff>30565</xdr:rowOff>
    </xdr:from>
    <xdr:ext cx="306454" cy="267091"/>
    <xdr:pic>
      <xdr:nvPicPr>
        <xdr:cNvPr id="32" name="Grafik 2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650293" y="15250884"/>
          <a:ext cx="267091" cy="306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428093</xdr:colOff>
      <xdr:row>82</xdr:row>
      <xdr:rowOff>16742</xdr:rowOff>
    </xdr:from>
    <xdr:ext cx="294248" cy="280915"/>
    <xdr:pic>
      <xdr:nvPicPr>
        <xdr:cNvPr id="33" name="Grafik 2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7543" y="15637742"/>
          <a:ext cx="294248" cy="28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447990</xdr:colOff>
      <xdr:row>83</xdr:row>
      <xdr:rowOff>16566</xdr:rowOff>
    </xdr:from>
    <xdr:ext cx="262806" cy="287044"/>
    <xdr:pic>
      <xdr:nvPicPr>
        <xdr:cNvPr id="34" name="Grafik 27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440" y="15828066"/>
          <a:ext cx="262806" cy="287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239356</xdr:colOff>
      <xdr:row>84</xdr:row>
      <xdr:rowOff>17067</xdr:rowOff>
    </xdr:from>
    <xdr:ext cx="644710" cy="286543"/>
    <xdr:pic>
      <xdr:nvPicPr>
        <xdr:cNvPr id="35" name="Grafik 2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8806" y="16019067"/>
          <a:ext cx="644710" cy="286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362750</xdr:colOff>
      <xdr:row>85</xdr:row>
      <xdr:rowOff>22480</xdr:rowOff>
    </xdr:from>
    <xdr:ext cx="398502" cy="281130"/>
    <xdr:pic>
      <xdr:nvPicPr>
        <xdr:cNvPr id="36" name="Grafik 29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640886" y="16156294"/>
          <a:ext cx="281130" cy="398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443115</xdr:colOff>
      <xdr:row>86</xdr:row>
      <xdr:rowOff>25509</xdr:rowOff>
    </xdr:from>
    <xdr:ext cx="258000" cy="272147"/>
    <xdr:pic>
      <xdr:nvPicPr>
        <xdr:cNvPr id="37" name="Grafik 30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2565" y="16408509"/>
          <a:ext cx="258000" cy="272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236419</xdr:colOff>
      <xdr:row>87</xdr:row>
      <xdr:rowOff>25918</xdr:rowOff>
    </xdr:from>
    <xdr:ext cx="650284" cy="277691"/>
    <xdr:pic>
      <xdr:nvPicPr>
        <xdr:cNvPr id="38" name="Grafik 3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5869" y="16599418"/>
          <a:ext cx="650284" cy="277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436714</xdr:colOff>
      <xdr:row>88</xdr:row>
      <xdr:rowOff>18654</xdr:rowOff>
    </xdr:from>
    <xdr:ext cx="269327" cy="275362"/>
    <xdr:pic>
      <xdr:nvPicPr>
        <xdr:cNvPr id="39" name="Grafik 1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6164" y="16782654"/>
          <a:ext cx="269327" cy="275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87842</xdr:colOff>
      <xdr:row>90</xdr:row>
      <xdr:rowOff>25715</xdr:rowOff>
    </xdr:from>
    <xdr:ext cx="974725" cy="277416"/>
    <xdr:pic>
      <xdr:nvPicPr>
        <xdr:cNvPr id="40" name="Grafik 42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292" y="17170715"/>
          <a:ext cx="974725" cy="277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388980</xdr:colOff>
      <xdr:row>66</xdr:row>
      <xdr:rowOff>13970</xdr:rowOff>
    </xdr:from>
    <xdr:to>
      <xdr:col>7</xdr:col>
      <xdr:colOff>216317</xdr:colOff>
      <xdr:row>66</xdr:row>
      <xdr:rowOff>301740</xdr:rowOff>
    </xdr:to>
    <xdr:pic>
      <xdr:nvPicPr>
        <xdr:cNvPr id="41" name="Grafik 1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76" t="21647" r="24949" b="23985"/>
        <a:stretch/>
      </xdr:blipFill>
      <xdr:spPr bwMode="auto">
        <a:xfrm>
          <a:off x="3608430" y="12586970"/>
          <a:ext cx="408362" cy="17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20</xdr:col>
      <xdr:colOff>346115</xdr:colOff>
      <xdr:row>16</xdr:row>
      <xdr:rowOff>27749</xdr:rowOff>
    </xdr:from>
    <xdr:ext cx="214420" cy="142583"/>
    <xdr:pic>
      <xdr:nvPicPr>
        <xdr:cNvPr id="42" name="Grafik 4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915" y="3075749"/>
          <a:ext cx="214420" cy="14258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8</xdr:row>
          <xdr:rowOff>19050</xdr:rowOff>
        </xdr:from>
        <xdr:to>
          <xdr:col>22</xdr:col>
          <xdr:colOff>161925</xdr:colOff>
          <xdr:row>8</xdr:row>
          <xdr:rowOff>171450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9</xdr:row>
          <xdr:rowOff>19050</xdr:rowOff>
        </xdr:from>
        <xdr:to>
          <xdr:col>22</xdr:col>
          <xdr:colOff>161925</xdr:colOff>
          <xdr:row>9</xdr:row>
          <xdr:rowOff>171450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344978</xdr:colOff>
      <xdr:row>8</xdr:row>
      <xdr:rowOff>28323</xdr:rowOff>
    </xdr:from>
    <xdr:ext cx="216218" cy="130113"/>
    <xdr:pic>
      <xdr:nvPicPr>
        <xdr:cNvPr id="45" name="Grafik 44"/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778" y="1552323"/>
          <a:ext cx="216218" cy="130113"/>
        </a:xfrm>
        <a:prstGeom prst="rect">
          <a:avLst/>
        </a:prstGeom>
      </xdr:spPr>
    </xdr:pic>
    <xdr:clientData/>
  </xdr:oneCellAnchor>
  <xdr:oneCellAnchor>
    <xdr:from>
      <xdr:col>20</xdr:col>
      <xdr:colOff>345196</xdr:colOff>
      <xdr:row>9</xdr:row>
      <xdr:rowOff>26809</xdr:rowOff>
    </xdr:from>
    <xdr:ext cx="216000" cy="144000"/>
    <xdr:pic>
      <xdr:nvPicPr>
        <xdr:cNvPr id="46" name="Grafik 45"/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996" y="1741309"/>
          <a:ext cx="216000" cy="144000"/>
        </a:xfrm>
        <a:prstGeom prst="rect">
          <a:avLst/>
        </a:prstGeom>
      </xdr:spPr>
    </xdr:pic>
    <xdr:clientData/>
  </xdr:oneCellAnchor>
  <xdr:oneCellAnchor>
    <xdr:from>
      <xdr:col>20</xdr:col>
      <xdr:colOff>345454</xdr:colOff>
      <xdr:row>10</xdr:row>
      <xdr:rowOff>31457</xdr:rowOff>
    </xdr:from>
    <xdr:ext cx="215742" cy="143828"/>
    <xdr:pic>
      <xdr:nvPicPr>
        <xdr:cNvPr id="47" name="Grafik 46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254" y="1936457"/>
          <a:ext cx="215742" cy="143828"/>
        </a:xfrm>
        <a:prstGeom prst="rect">
          <a:avLst/>
        </a:prstGeom>
      </xdr:spPr>
    </xdr:pic>
    <xdr:clientData/>
  </xdr:oneCellAnchor>
  <xdr:oneCellAnchor>
    <xdr:from>
      <xdr:col>20</xdr:col>
      <xdr:colOff>345454</xdr:colOff>
      <xdr:row>11</xdr:row>
      <xdr:rowOff>31457</xdr:rowOff>
    </xdr:from>
    <xdr:ext cx="215742" cy="143828"/>
    <xdr:pic>
      <xdr:nvPicPr>
        <xdr:cNvPr id="48" name="Grafik 47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254" y="2126957"/>
          <a:ext cx="215742" cy="143828"/>
        </a:xfrm>
        <a:prstGeom prst="rect">
          <a:avLst/>
        </a:prstGeom>
      </xdr:spPr>
    </xdr:pic>
    <xdr:clientData/>
  </xdr:oneCellAnchor>
  <xdr:oneCellAnchor>
    <xdr:from>
      <xdr:col>20</xdr:col>
      <xdr:colOff>345454</xdr:colOff>
      <xdr:row>12</xdr:row>
      <xdr:rowOff>31615</xdr:rowOff>
    </xdr:from>
    <xdr:ext cx="215742" cy="143511"/>
    <xdr:pic>
      <xdr:nvPicPr>
        <xdr:cNvPr id="49" name="Grafik 48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254" y="2317615"/>
          <a:ext cx="215742" cy="143511"/>
        </a:xfrm>
        <a:prstGeom prst="rect">
          <a:avLst/>
        </a:prstGeom>
      </xdr:spPr>
    </xdr:pic>
    <xdr:clientData/>
  </xdr:oneCellAnchor>
  <xdr:oneCellAnchor>
    <xdr:from>
      <xdr:col>20</xdr:col>
      <xdr:colOff>345454</xdr:colOff>
      <xdr:row>13</xdr:row>
      <xdr:rowOff>26617</xdr:rowOff>
    </xdr:from>
    <xdr:ext cx="215742" cy="144000"/>
    <xdr:pic>
      <xdr:nvPicPr>
        <xdr:cNvPr id="50" name="Grafik 49"/>
        <xdr:cNvPicPr preferRelativeResize="0"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254" y="2503117"/>
          <a:ext cx="215742" cy="144000"/>
        </a:xfrm>
        <a:prstGeom prst="rect">
          <a:avLst/>
        </a:prstGeom>
      </xdr:spPr>
    </xdr:pic>
    <xdr:clientData/>
  </xdr:oneCellAnchor>
  <xdr:oneCellAnchor>
    <xdr:from>
      <xdr:col>20</xdr:col>
      <xdr:colOff>345454</xdr:colOff>
      <xdr:row>14</xdr:row>
      <xdr:rowOff>26520</xdr:rowOff>
    </xdr:from>
    <xdr:ext cx="215742" cy="144000"/>
    <xdr:pic>
      <xdr:nvPicPr>
        <xdr:cNvPr id="51" name="Grafik 50"/>
        <xdr:cNvPicPr preferRelativeResize="0"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254" y="2693520"/>
          <a:ext cx="215742" cy="144000"/>
        </a:xfrm>
        <a:prstGeom prst="rect">
          <a:avLst/>
        </a:prstGeom>
      </xdr:spPr>
    </xdr:pic>
    <xdr:clientData/>
  </xdr:oneCellAnchor>
  <xdr:oneCellAnchor>
    <xdr:from>
      <xdr:col>20</xdr:col>
      <xdr:colOff>346115</xdr:colOff>
      <xdr:row>15</xdr:row>
      <xdr:rowOff>27285</xdr:rowOff>
    </xdr:from>
    <xdr:ext cx="214420" cy="143511"/>
    <xdr:pic>
      <xdr:nvPicPr>
        <xdr:cNvPr id="52" name="Grafik 51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915" y="2884785"/>
          <a:ext cx="214420" cy="143511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10</xdr:row>
          <xdr:rowOff>19050</xdr:rowOff>
        </xdr:from>
        <xdr:to>
          <xdr:col>22</xdr:col>
          <xdr:colOff>161925</xdr:colOff>
          <xdr:row>10</xdr:row>
          <xdr:rowOff>171450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11</xdr:row>
          <xdr:rowOff>28575</xdr:rowOff>
        </xdr:from>
        <xdr:to>
          <xdr:col>21</xdr:col>
          <xdr:colOff>533400</xdr:colOff>
          <xdr:row>11</xdr:row>
          <xdr:rowOff>171450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12</xdr:row>
          <xdr:rowOff>28575</xdr:rowOff>
        </xdr:from>
        <xdr:to>
          <xdr:col>22</xdr:col>
          <xdr:colOff>161925</xdr:colOff>
          <xdr:row>12</xdr:row>
          <xdr:rowOff>180975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13</xdr:row>
          <xdr:rowOff>38100</xdr:rowOff>
        </xdr:from>
        <xdr:to>
          <xdr:col>22</xdr:col>
          <xdr:colOff>161925</xdr:colOff>
          <xdr:row>14</xdr:row>
          <xdr:rowOff>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14</xdr:row>
          <xdr:rowOff>28575</xdr:rowOff>
        </xdr:from>
        <xdr:to>
          <xdr:col>22</xdr:col>
          <xdr:colOff>161925</xdr:colOff>
          <xdr:row>14</xdr:row>
          <xdr:rowOff>180975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15</xdr:row>
          <xdr:rowOff>28575</xdr:rowOff>
        </xdr:from>
        <xdr:to>
          <xdr:col>22</xdr:col>
          <xdr:colOff>190500</xdr:colOff>
          <xdr:row>15</xdr:row>
          <xdr:rowOff>171450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16</xdr:row>
          <xdr:rowOff>28575</xdr:rowOff>
        </xdr:from>
        <xdr:to>
          <xdr:col>22</xdr:col>
          <xdr:colOff>161925</xdr:colOff>
          <xdr:row>16</xdr:row>
          <xdr:rowOff>180975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333375</xdr:colOff>
          <xdr:row>17</xdr:row>
          <xdr:rowOff>28575</xdr:rowOff>
        </xdr:from>
        <xdr:to>
          <xdr:col>22</xdr:col>
          <xdr:colOff>485775</xdr:colOff>
          <xdr:row>17</xdr:row>
          <xdr:rowOff>171450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</xdr:row>
          <xdr:rowOff>0</xdr:rowOff>
        </xdr:from>
        <xdr:to>
          <xdr:col>23</xdr:col>
          <xdr:colOff>0</xdr:colOff>
          <xdr:row>22</xdr:row>
          <xdr:rowOff>0</xdr:rowOff>
        </xdr:to>
        <xdr:sp macro="" textlink="">
          <xdr:nvSpPr>
            <xdr:cNvPr id="1054" name="Group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oneCellAnchor>
    <xdr:from>
      <xdr:col>20</xdr:col>
      <xdr:colOff>346115</xdr:colOff>
      <xdr:row>17</xdr:row>
      <xdr:rowOff>45435</xdr:rowOff>
    </xdr:from>
    <xdr:ext cx="214420" cy="107210"/>
    <xdr:pic>
      <xdr:nvPicPr>
        <xdr:cNvPr id="62" name="Grafik 61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915" y="3283935"/>
          <a:ext cx="214420" cy="10721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18</xdr:row>
          <xdr:rowOff>19050</xdr:rowOff>
        </xdr:from>
        <xdr:to>
          <xdr:col>22</xdr:col>
          <xdr:colOff>161925</xdr:colOff>
          <xdr:row>18</xdr:row>
          <xdr:rowOff>171450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346115</xdr:colOff>
      <xdr:row>18</xdr:row>
      <xdr:rowOff>45435</xdr:rowOff>
    </xdr:from>
    <xdr:ext cx="216000" cy="108000"/>
    <xdr:pic>
      <xdr:nvPicPr>
        <xdr:cNvPr id="64" name="Grafik 63"/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915" y="3474435"/>
          <a:ext cx="216000" cy="108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19</xdr:row>
          <xdr:rowOff>19050</xdr:rowOff>
        </xdr:from>
        <xdr:to>
          <xdr:col>22</xdr:col>
          <xdr:colOff>161925</xdr:colOff>
          <xdr:row>19</xdr:row>
          <xdr:rowOff>171450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346115</xdr:colOff>
      <xdr:row>19</xdr:row>
      <xdr:rowOff>42033</xdr:rowOff>
    </xdr:from>
    <xdr:ext cx="216000" cy="108000"/>
    <xdr:pic>
      <xdr:nvPicPr>
        <xdr:cNvPr id="66" name="Grafik 65"/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915" y="3661533"/>
          <a:ext cx="216000" cy="108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20</xdr:row>
          <xdr:rowOff>19050</xdr:rowOff>
        </xdr:from>
        <xdr:to>
          <xdr:col>22</xdr:col>
          <xdr:colOff>161925</xdr:colOff>
          <xdr:row>20</xdr:row>
          <xdr:rowOff>171450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346115</xdr:colOff>
      <xdr:row>20</xdr:row>
      <xdr:rowOff>41601</xdr:rowOff>
    </xdr:from>
    <xdr:ext cx="216000" cy="108000"/>
    <xdr:pic>
      <xdr:nvPicPr>
        <xdr:cNvPr id="68" name="Grafik 67"/>
        <xdr:cNvPicPr preferRelativeResize="0"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915" y="3851601"/>
          <a:ext cx="216000" cy="108000"/>
        </a:xfrm>
        <a:prstGeom prst="rect">
          <a:avLst/>
        </a:prstGeom>
      </xdr:spPr>
    </xdr:pic>
    <xdr:clientData/>
  </xdr:oneCellAnchor>
  <xdr:twoCellAnchor>
    <xdr:from>
      <xdr:col>20</xdr:col>
      <xdr:colOff>142875</xdr:colOff>
      <xdr:row>17</xdr:row>
      <xdr:rowOff>9756</xdr:rowOff>
    </xdr:from>
    <xdr:to>
      <xdr:col>22</xdr:col>
      <xdr:colOff>523875</xdr:colOff>
      <xdr:row>17</xdr:row>
      <xdr:rowOff>181206</xdr:rowOff>
    </xdr:to>
    <xdr:sp macro="" textlink="">
      <xdr:nvSpPr>
        <xdr:cNvPr id="69" name="Rechteck 68"/>
        <xdr:cNvSpPr/>
      </xdr:nvSpPr>
      <xdr:spPr>
        <a:xfrm>
          <a:off x="11496675" y="3248256"/>
          <a:ext cx="1543050" cy="1714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21</xdr:row>
          <xdr:rowOff>19050</xdr:rowOff>
        </xdr:from>
        <xdr:to>
          <xdr:col>22</xdr:col>
          <xdr:colOff>161925</xdr:colOff>
          <xdr:row>21</xdr:row>
          <xdr:rowOff>171450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346115</xdr:colOff>
      <xdr:row>21</xdr:row>
      <xdr:rowOff>41959</xdr:rowOff>
    </xdr:from>
    <xdr:ext cx="216000" cy="107284"/>
    <xdr:pic>
      <xdr:nvPicPr>
        <xdr:cNvPr id="71" name="Grafik 70"/>
        <xdr:cNvPicPr preferRelativeResize="0"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915" y="4042459"/>
          <a:ext cx="216000" cy="107284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14</xdr:row>
          <xdr:rowOff>0</xdr:rowOff>
        </xdr:from>
        <xdr:to>
          <xdr:col>13</xdr:col>
          <xdr:colOff>0</xdr:colOff>
          <xdr:row>15</xdr:row>
          <xdr:rowOff>0</xdr:rowOff>
        </xdr:to>
        <xdr:sp macro="" textlink="">
          <xdr:nvSpPr>
            <xdr:cNvPr id="1059" name="Group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428625</xdr:colOff>
          <xdr:row>14</xdr:row>
          <xdr:rowOff>28575</xdr:rowOff>
        </xdr:from>
        <xdr:to>
          <xdr:col>11</xdr:col>
          <xdr:colOff>314325</xdr:colOff>
          <xdr:row>15</xdr:row>
          <xdr:rowOff>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438150</xdr:colOff>
          <xdr:row>14</xdr:row>
          <xdr:rowOff>28575</xdr:rowOff>
        </xdr:from>
        <xdr:to>
          <xdr:col>12</xdr:col>
          <xdr:colOff>323850</xdr:colOff>
          <xdr:row>15</xdr:row>
          <xdr:rowOff>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295275</xdr:colOff>
          <xdr:row>92</xdr:row>
          <xdr:rowOff>28575</xdr:rowOff>
        </xdr:from>
        <xdr:to>
          <xdr:col>7</xdr:col>
          <xdr:colOff>247650</xdr:colOff>
          <xdr:row>92</xdr:row>
          <xdr:rowOff>295275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361950</xdr:colOff>
      <xdr:row>61</xdr:row>
      <xdr:rowOff>19009</xdr:rowOff>
    </xdr:from>
    <xdr:to>
      <xdr:col>7</xdr:col>
      <xdr:colOff>242419</xdr:colOff>
      <xdr:row>61</xdr:row>
      <xdr:rowOff>305141</xdr:rowOff>
    </xdr:to>
    <xdr:pic>
      <xdr:nvPicPr>
        <xdr:cNvPr id="76" name="Grafik 1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3" t="15510" r="13074" b="10428"/>
        <a:stretch/>
      </xdr:blipFill>
      <xdr:spPr bwMode="auto">
        <a:xfrm>
          <a:off x="3581400" y="11639509"/>
          <a:ext cx="461494" cy="171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62</xdr:row>
      <xdr:rowOff>19009</xdr:rowOff>
    </xdr:from>
    <xdr:to>
      <xdr:col>7</xdr:col>
      <xdr:colOff>242419</xdr:colOff>
      <xdr:row>62</xdr:row>
      <xdr:rowOff>305141</xdr:rowOff>
    </xdr:to>
    <xdr:pic>
      <xdr:nvPicPr>
        <xdr:cNvPr id="77" name="Grafik 1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3" t="15510" r="13074" b="10428"/>
        <a:stretch/>
      </xdr:blipFill>
      <xdr:spPr bwMode="auto">
        <a:xfrm>
          <a:off x="3581400" y="11830009"/>
          <a:ext cx="461494" cy="171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63</xdr:row>
      <xdr:rowOff>19009</xdr:rowOff>
    </xdr:from>
    <xdr:to>
      <xdr:col>7</xdr:col>
      <xdr:colOff>242419</xdr:colOff>
      <xdr:row>63</xdr:row>
      <xdr:rowOff>305141</xdr:rowOff>
    </xdr:to>
    <xdr:pic>
      <xdr:nvPicPr>
        <xdr:cNvPr id="78" name="Grafik 1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3" t="15510" r="13074" b="10428"/>
        <a:stretch/>
      </xdr:blipFill>
      <xdr:spPr bwMode="auto">
        <a:xfrm>
          <a:off x="3581400" y="12020509"/>
          <a:ext cx="461494" cy="171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23</xdr:row>
          <xdr:rowOff>19050</xdr:rowOff>
        </xdr:from>
        <xdr:to>
          <xdr:col>2</xdr:col>
          <xdr:colOff>447675</xdr:colOff>
          <xdr:row>23</xdr:row>
          <xdr:rowOff>180975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19</xdr:row>
          <xdr:rowOff>9525</xdr:rowOff>
        </xdr:from>
        <xdr:to>
          <xdr:col>5</xdr:col>
          <xdr:colOff>361950</xdr:colOff>
          <xdr:row>19</xdr:row>
          <xdr:rowOff>171450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20</xdr:row>
          <xdr:rowOff>19050</xdr:rowOff>
        </xdr:from>
        <xdr:to>
          <xdr:col>5</xdr:col>
          <xdr:colOff>361950</xdr:colOff>
          <xdr:row>20</xdr:row>
          <xdr:rowOff>180975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21</xdr:row>
          <xdr:rowOff>19050</xdr:rowOff>
        </xdr:from>
        <xdr:to>
          <xdr:col>5</xdr:col>
          <xdr:colOff>361950</xdr:colOff>
          <xdr:row>21</xdr:row>
          <xdr:rowOff>180975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22</xdr:row>
          <xdr:rowOff>19050</xdr:rowOff>
        </xdr:from>
        <xdr:to>
          <xdr:col>5</xdr:col>
          <xdr:colOff>361950</xdr:colOff>
          <xdr:row>22</xdr:row>
          <xdr:rowOff>180975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409575</xdr:colOff>
          <xdr:row>23</xdr:row>
          <xdr:rowOff>9525</xdr:rowOff>
        </xdr:from>
        <xdr:to>
          <xdr:col>5</xdr:col>
          <xdr:colOff>361950</xdr:colOff>
          <xdr:row>23</xdr:row>
          <xdr:rowOff>171450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19</xdr:row>
          <xdr:rowOff>19050</xdr:rowOff>
        </xdr:from>
        <xdr:to>
          <xdr:col>8</xdr:col>
          <xdr:colOff>361950</xdr:colOff>
          <xdr:row>19</xdr:row>
          <xdr:rowOff>180975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20</xdr:row>
          <xdr:rowOff>28575</xdr:rowOff>
        </xdr:from>
        <xdr:to>
          <xdr:col>8</xdr:col>
          <xdr:colOff>361950</xdr:colOff>
          <xdr:row>21</xdr:row>
          <xdr:rowOff>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21</xdr:row>
          <xdr:rowOff>28575</xdr:rowOff>
        </xdr:from>
        <xdr:to>
          <xdr:col>8</xdr:col>
          <xdr:colOff>361950</xdr:colOff>
          <xdr:row>22</xdr:row>
          <xdr:rowOff>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22</xdr:row>
          <xdr:rowOff>28575</xdr:rowOff>
        </xdr:from>
        <xdr:to>
          <xdr:col>8</xdr:col>
          <xdr:colOff>361950</xdr:colOff>
          <xdr:row>23</xdr:row>
          <xdr:rowOff>0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23</xdr:row>
          <xdr:rowOff>19050</xdr:rowOff>
        </xdr:from>
        <xdr:to>
          <xdr:col>8</xdr:col>
          <xdr:colOff>361950</xdr:colOff>
          <xdr:row>23</xdr:row>
          <xdr:rowOff>180975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19</xdr:row>
          <xdr:rowOff>9525</xdr:rowOff>
        </xdr:from>
        <xdr:to>
          <xdr:col>11</xdr:col>
          <xdr:colOff>352425</xdr:colOff>
          <xdr:row>19</xdr:row>
          <xdr:rowOff>171450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20</xdr:row>
          <xdr:rowOff>19050</xdr:rowOff>
        </xdr:from>
        <xdr:to>
          <xdr:col>11</xdr:col>
          <xdr:colOff>352425</xdr:colOff>
          <xdr:row>20</xdr:row>
          <xdr:rowOff>180975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21</xdr:row>
          <xdr:rowOff>19050</xdr:rowOff>
        </xdr:from>
        <xdr:to>
          <xdr:col>11</xdr:col>
          <xdr:colOff>352425</xdr:colOff>
          <xdr:row>21</xdr:row>
          <xdr:rowOff>180975</xdr:rowOff>
        </xdr:to>
        <xdr:sp macro="" textlink="">
          <xdr:nvSpPr>
            <xdr:cNvPr id="1076" name="Option Butto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22</xdr:row>
          <xdr:rowOff>19050</xdr:rowOff>
        </xdr:from>
        <xdr:to>
          <xdr:col>11</xdr:col>
          <xdr:colOff>352425</xdr:colOff>
          <xdr:row>22</xdr:row>
          <xdr:rowOff>180975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23</xdr:row>
          <xdr:rowOff>19050</xdr:rowOff>
        </xdr:from>
        <xdr:to>
          <xdr:col>11</xdr:col>
          <xdr:colOff>352425</xdr:colOff>
          <xdr:row>23</xdr:row>
          <xdr:rowOff>180975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419100</xdr:colOff>
          <xdr:row>19</xdr:row>
          <xdr:rowOff>9525</xdr:rowOff>
        </xdr:from>
        <xdr:to>
          <xdr:col>14</xdr:col>
          <xdr:colOff>371475</xdr:colOff>
          <xdr:row>19</xdr:row>
          <xdr:rowOff>171450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419100</xdr:colOff>
          <xdr:row>20</xdr:row>
          <xdr:rowOff>19050</xdr:rowOff>
        </xdr:from>
        <xdr:to>
          <xdr:col>14</xdr:col>
          <xdr:colOff>371475</xdr:colOff>
          <xdr:row>20</xdr:row>
          <xdr:rowOff>180975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409575</xdr:colOff>
          <xdr:row>22</xdr:row>
          <xdr:rowOff>9525</xdr:rowOff>
        </xdr:from>
        <xdr:to>
          <xdr:col>14</xdr:col>
          <xdr:colOff>361950</xdr:colOff>
          <xdr:row>22</xdr:row>
          <xdr:rowOff>171450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361950</xdr:colOff>
      <xdr:row>65</xdr:row>
      <xdr:rowOff>19009</xdr:rowOff>
    </xdr:from>
    <xdr:to>
      <xdr:col>7</xdr:col>
      <xdr:colOff>242419</xdr:colOff>
      <xdr:row>65</xdr:row>
      <xdr:rowOff>305141</xdr:rowOff>
    </xdr:to>
    <xdr:pic>
      <xdr:nvPicPr>
        <xdr:cNvPr id="98" name="Grafik 1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3" t="15510" r="13074" b="10428"/>
        <a:stretch/>
      </xdr:blipFill>
      <xdr:spPr bwMode="auto">
        <a:xfrm>
          <a:off x="3581400" y="12401509"/>
          <a:ext cx="461494" cy="171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268941</xdr:colOff>
      <xdr:row>91</xdr:row>
      <xdr:rowOff>33617</xdr:rowOff>
    </xdr:from>
    <xdr:to>
      <xdr:col>7</xdr:col>
      <xdr:colOff>190997</xdr:colOff>
      <xdr:row>91</xdr:row>
      <xdr:rowOff>290760</xdr:rowOff>
    </xdr:to>
    <xdr:pic>
      <xdr:nvPicPr>
        <xdr:cNvPr id="99" name="Grafik 9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488391" y="17369117"/>
          <a:ext cx="503081" cy="152368"/>
        </a:xfrm>
        <a:prstGeom prst="rect">
          <a:avLst/>
        </a:prstGeom>
      </xdr:spPr>
    </xdr:pic>
    <xdr:clientData/>
  </xdr:twoCellAnchor>
  <xdr:twoCellAnchor>
    <xdr:from>
      <xdr:col>6</xdr:col>
      <xdr:colOff>447264</xdr:colOff>
      <xdr:row>67</xdr:row>
      <xdr:rowOff>24849</xdr:rowOff>
    </xdr:from>
    <xdr:to>
      <xdr:col>7</xdr:col>
      <xdr:colOff>102059</xdr:colOff>
      <xdr:row>67</xdr:row>
      <xdr:rowOff>289892</xdr:rowOff>
    </xdr:to>
    <xdr:pic>
      <xdr:nvPicPr>
        <xdr:cNvPr id="100" name="Grafik 9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666714" y="12788349"/>
          <a:ext cx="235820" cy="169793"/>
        </a:xfrm>
        <a:prstGeom prst="rect">
          <a:avLst/>
        </a:prstGeom>
      </xdr:spPr>
    </xdr:pic>
    <xdr:clientData/>
  </xdr:twoCellAnchor>
  <xdr:twoCellAnchor>
    <xdr:from>
      <xdr:col>6</xdr:col>
      <xdr:colOff>438981</xdr:colOff>
      <xdr:row>68</xdr:row>
      <xdr:rowOff>24849</xdr:rowOff>
    </xdr:from>
    <xdr:to>
      <xdr:col>7</xdr:col>
      <xdr:colOff>101463</xdr:colOff>
      <xdr:row>68</xdr:row>
      <xdr:rowOff>298174</xdr:rowOff>
    </xdr:to>
    <xdr:pic>
      <xdr:nvPicPr>
        <xdr:cNvPr id="101" name="Grafik 10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658431" y="12978849"/>
          <a:ext cx="243507" cy="168550"/>
        </a:xfrm>
        <a:prstGeom prst="rect">
          <a:avLst/>
        </a:prstGeom>
      </xdr:spPr>
    </xdr:pic>
    <xdr:clientData/>
  </xdr:twoCellAnchor>
  <xdr:twoCellAnchor>
    <xdr:from>
      <xdr:col>6</xdr:col>
      <xdr:colOff>352426</xdr:colOff>
      <xdr:row>74</xdr:row>
      <xdr:rowOff>19050</xdr:rowOff>
    </xdr:from>
    <xdr:to>
      <xdr:col>7</xdr:col>
      <xdr:colOff>295275</xdr:colOff>
      <xdr:row>74</xdr:row>
      <xdr:rowOff>295275</xdr:rowOff>
    </xdr:to>
    <xdr:pic>
      <xdr:nvPicPr>
        <xdr:cNvPr id="102" name="Grafik 10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571876" y="14116050"/>
          <a:ext cx="523874" cy="171450"/>
        </a:xfrm>
        <a:prstGeom prst="rect">
          <a:avLst/>
        </a:prstGeom>
      </xdr:spPr>
    </xdr:pic>
    <xdr:clientData/>
  </xdr:twoCellAnchor>
  <xdr:twoCellAnchor>
    <xdr:from>
      <xdr:col>6</xdr:col>
      <xdr:colOff>419022</xdr:colOff>
      <xdr:row>73</xdr:row>
      <xdr:rowOff>38100</xdr:rowOff>
    </xdr:from>
    <xdr:to>
      <xdr:col>7</xdr:col>
      <xdr:colOff>209471</xdr:colOff>
      <xdr:row>73</xdr:row>
      <xdr:rowOff>285750</xdr:rowOff>
    </xdr:to>
    <xdr:pic>
      <xdr:nvPicPr>
        <xdr:cNvPr id="103" name="Grafik 10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638472" y="13944600"/>
          <a:ext cx="371474" cy="152400"/>
        </a:xfrm>
        <a:prstGeom prst="rect">
          <a:avLst/>
        </a:prstGeom>
      </xdr:spPr>
    </xdr:pic>
    <xdr:clientData/>
  </xdr:twoCellAnchor>
  <xdr:twoCellAnchor>
    <xdr:from>
      <xdr:col>6</xdr:col>
      <xdr:colOff>428625</xdr:colOff>
      <xdr:row>89</xdr:row>
      <xdr:rowOff>28575</xdr:rowOff>
    </xdr:from>
    <xdr:to>
      <xdr:col>7</xdr:col>
      <xdr:colOff>121075</xdr:colOff>
      <xdr:row>89</xdr:row>
      <xdr:rowOff>285750</xdr:rowOff>
    </xdr:to>
    <xdr:pic>
      <xdr:nvPicPr>
        <xdr:cNvPr id="104" name="Grafik 10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648075" y="16983075"/>
          <a:ext cx="273475" cy="161925"/>
        </a:xfrm>
        <a:prstGeom prst="rect">
          <a:avLst/>
        </a:prstGeom>
      </xdr:spPr>
    </xdr:pic>
    <xdr:clientData/>
  </xdr:twoCellAnchor>
  <xdr:oneCellAnchor>
    <xdr:from>
      <xdr:col>6</xdr:col>
      <xdr:colOff>428093</xdr:colOff>
      <xdr:row>81</xdr:row>
      <xdr:rowOff>16742</xdr:rowOff>
    </xdr:from>
    <xdr:ext cx="294248" cy="280915"/>
    <xdr:pic>
      <xdr:nvPicPr>
        <xdr:cNvPr id="105" name="Grafik 2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7543" y="15447242"/>
          <a:ext cx="294248" cy="28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390525</xdr:colOff>
      <xdr:row>79</xdr:row>
      <xdr:rowOff>33373</xdr:rowOff>
    </xdr:from>
    <xdr:to>
      <xdr:col>7</xdr:col>
      <xdr:colOff>238125</xdr:colOff>
      <xdr:row>79</xdr:row>
      <xdr:rowOff>301658</xdr:rowOff>
    </xdr:to>
    <xdr:pic>
      <xdr:nvPicPr>
        <xdr:cNvPr id="106" name="Grafik 10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609975" y="15082873"/>
          <a:ext cx="428625" cy="153985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123824</xdr:colOff>
      <xdr:row>1</xdr:row>
      <xdr:rowOff>209550</xdr:rowOff>
    </xdr:from>
    <xdr:to>
      <xdr:col>6</xdr:col>
      <xdr:colOff>503521</xdr:colOff>
      <xdr:row>5</xdr:row>
      <xdr:rowOff>38100</xdr:rowOff>
    </xdr:to>
    <xdr:pic>
      <xdr:nvPicPr>
        <xdr:cNvPr id="108" name="Grafik 10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181224" y="561975"/>
          <a:ext cx="1541747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494472</xdr:colOff>
      <xdr:row>0</xdr:row>
      <xdr:rowOff>257175</xdr:rowOff>
    </xdr:from>
    <xdr:to>
      <xdr:col>3</xdr:col>
      <xdr:colOff>85725</xdr:colOff>
      <xdr:row>6</xdr:row>
      <xdr:rowOff>0</xdr:rowOff>
    </xdr:to>
    <xdr:pic>
      <xdr:nvPicPr>
        <xdr:cNvPr id="2" name="Grafik 4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13497" y="257175"/>
          <a:ext cx="1248603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10</xdr:row>
          <xdr:rowOff>0</xdr:rowOff>
        </xdr:from>
        <xdr:to>
          <xdr:col>13</xdr:col>
          <xdr:colOff>0</xdr:colOff>
          <xdr:row>12</xdr:row>
          <xdr:rowOff>0</xdr:rowOff>
        </xdr:to>
        <xdr:sp macro="" textlink="">
          <xdr:nvSpPr>
            <xdr:cNvPr id="2049" name="Group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19</xdr:row>
          <xdr:rowOff>0</xdr:rowOff>
        </xdr:from>
        <xdr:to>
          <xdr:col>15</xdr:col>
          <xdr:colOff>0</xdr:colOff>
          <xdr:row>21</xdr:row>
          <xdr:rowOff>0</xdr:rowOff>
        </xdr:to>
        <xdr:sp macro="" textlink="">
          <xdr:nvSpPr>
            <xdr:cNvPr id="2050" name="Group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19</xdr:row>
          <xdr:rowOff>19050</xdr:rowOff>
        </xdr:from>
        <xdr:to>
          <xdr:col>4</xdr:col>
          <xdr:colOff>457200</xdr:colOff>
          <xdr:row>19</xdr:row>
          <xdr:rowOff>180975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20</xdr:row>
          <xdr:rowOff>19050</xdr:rowOff>
        </xdr:from>
        <xdr:to>
          <xdr:col>4</xdr:col>
          <xdr:colOff>457200</xdr:colOff>
          <xdr:row>20</xdr:row>
          <xdr:rowOff>180975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19</xdr:row>
          <xdr:rowOff>28575</xdr:rowOff>
        </xdr:from>
        <xdr:to>
          <xdr:col>7</xdr:col>
          <xdr:colOff>457200</xdr:colOff>
          <xdr:row>20</xdr:row>
          <xdr:rowOff>0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7</xdr:row>
          <xdr:rowOff>0</xdr:rowOff>
        </xdr:from>
        <xdr:to>
          <xdr:col>19</xdr:col>
          <xdr:colOff>0</xdr:colOff>
          <xdr:row>9</xdr:row>
          <xdr:rowOff>0</xdr:rowOff>
        </xdr:to>
        <xdr:sp macro="" textlink="">
          <xdr:nvSpPr>
            <xdr:cNvPr id="2054" name="Group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428625</xdr:colOff>
          <xdr:row>8</xdr:row>
          <xdr:rowOff>19050</xdr:rowOff>
        </xdr:from>
        <xdr:to>
          <xdr:col>12</xdr:col>
          <xdr:colOff>466725</xdr:colOff>
          <xdr:row>8</xdr:row>
          <xdr:rowOff>180975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8</xdr:row>
          <xdr:rowOff>19050</xdr:rowOff>
        </xdr:from>
        <xdr:to>
          <xdr:col>18</xdr:col>
          <xdr:colOff>38100</xdr:colOff>
          <xdr:row>9</xdr:row>
          <xdr:rowOff>0</xdr:rowOff>
        </xdr:to>
        <xdr:sp macro="" textlink="">
          <xdr:nvSpPr>
            <xdr:cNvPr id="2056" name="Option Butto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11</xdr:col>
          <xdr:colOff>447675</xdr:colOff>
          <xdr:row>11</xdr:row>
          <xdr:rowOff>180975</xdr:rowOff>
        </xdr:to>
        <xdr:sp macro="" textlink="">
          <xdr:nvSpPr>
            <xdr:cNvPr id="2057" name="Option Button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16</xdr:row>
          <xdr:rowOff>0</xdr:rowOff>
        </xdr:from>
        <xdr:to>
          <xdr:col>19</xdr:col>
          <xdr:colOff>0</xdr:colOff>
          <xdr:row>18</xdr:row>
          <xdr:rowOff>0</xdr:rowOff>
        </xdr:to>
        <xdr:sp macro="" textlink="">
          <xdr:nvSpPr>
            <xdr:cNvPr id="2058" name="Group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428625</xdr:colOff>
          <xdr:row>17</xdr:row>
          <xdr:rowOff>28575</xdr:rowOff>
        </xdr:from>
        <xdr:to>
          <xdr:col>15</xdr:col>
          <xdr:colOff>314325</xdr:colOff>
          <xdr:row>18</xdr:row>
          <xdr:rowOff>0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17</xdr:row>
          <xdr:rowOff>28575</xdr:rowOff>
        </xdr:from>
        <xdr:to>
          <xdr:col>17</xdr:col>
          <xdr:colOff>323850</xdr:colOff>
          <xdr:row>18</xdr:row>
          <xdr:rowOff>0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352425</xdr:colOff>
          <xdr:row>20</xdr:row>
          <xdr:rowOff>0</xdr:rowOff>
        </xdr:from>
        <xdr:to>
          <xdr:col>18</xdr:col>
          <xdr:colOff>400050</xdr:colOff>
          <xdr:row>20</xdr:row>
          <xdr:rowOff>47625</xdr:rowOff>
        </xdr:to>
        <xdr:sp macro="" textlink="">
          <xdr:nvSpPr>
            <xdr:cNvPr id="2061" name="Option Button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13</xdr:row>
          <xdr:rowOff>0</xdr:rowOff>
        </xdr:from>
        <xdr:to>
          <xdr:col>13</xdr:col>
          <xdr:colOff>0</xdr:colOff>
          <xdr:row>14</xdr:row>
          <xdr:rowOff>0</xdr:rowOff>
        </xdr:to>
        <xdr:sp macro="" textlink="">
          <xdr:nvSpPr>
            <xdr:cNvPr id="2062" name="Group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428625</xdr:colOff>
          <xdr:row>13</xdr:row>
          <xdr:rowOff>28575</xdr:rowOff>
        </xdr:from>
        <xdr:to>
          <xdr:col>11</xdr:col>
          <xdr:colOff>314325</xdr:colOff>
          <xdr:row>14</xdr:row>
          <xdr:rowOff>0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438150</xdr:colOff>
          <xdr:row>13</xdr:row>
          <xdr:rowOff>28575</xdr:rowOff>
        </xdr:from>
        <xdr:to>
          <xdr:col>12</xdr:col>
          <xdr:colOff>323850</xdr:colOff>
          <xdr:row>14</xdr:row>
          <xdr:rowOff>0</xdr:rowOff>
        </xdr:to>
        <xdr:sp macro="" textlink="">
          <xdr:nvSpPr>
            <xdr:cNvPr id="2064" name="Option Butto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435420</xdr:colOff>
      <xdr:row>65</xdr:row>
      <xdr:rowOff>10858</xdr:rowOff>
    </xdr:from>
    <xdr:to>
      <xdr:col>7</xdr:col>
      <xdr:colOff>175674</xdr:colOff>
      <xdr:row>65</xdr:row>
      <xdr:rowOff>310111</xdr:rowOff>
    </xdr:to>
    <xdr:pic>
      <xdr:nvPicPr>
        <xdr:cNvPr id="19" name="Grafik 4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50" t="8247" r="20407" b="11340"/>
        <a:stretch>
          <a:fillRect/>
        </a:stretch>
      </xdr:blipFill>
      <xdr:spPr bwMode="auto">
        <a:xfrm>
          <a:off x="3654870" y="12993433"/>
          <a:ext cx="321279" cy="299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435555</xdr:colOff>
      <xdr:row>66</xdr:row>
      <xdr:rowOff>10890</xdr:rowOff>
    </xdr:from>
    <xdr:ext cx="321074" cy="298674"/>
    <xdr:pic>
      <xdr:nvPicPr>
        <xdr:cNvPr id="20" name="Grafik 4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50" t="8247" r="20407" b="11340"/>
        <a:stretch>
          <a:fillRect/>
        </a:stretch>
      </xdr:blipFill>
      <xdr:spPr bwMode="auto">
        <a:xfrm>
          <a:off x="3655005" y="13307790"/>
          <a:ext cx="321074" cy="29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370011</xdr:colOff>
      <xdr:row>69</xdr:row>
      <xdr:rowOff>18546</xdr:rowOff>
    </xdr:from>
    <xdr:to>
      <xdr:col>7</xdr:col>
      <xdr:colOff>122410</xdr:colOff>
      <xdr:row>69</xdr:row>
      <xdr:rowOff>309563</xdr:rowOff>
    </xdr:to>
    <xdr:pic>
      <xdr:nvPicPr>
        <xdr:cNvPr id="21" name="Grafik 2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461" y="14258421"/>
          <a:ext cx="333424" cy="29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486481</xdr:colOff>
      <xdr:row>70</xdr:row>
      <xdr:rowOff>30158</xdr:rowOff>
    </xdr:from>
    <xdr:to>
      <xdr:col>7</xdr:col>
      <xdr:colOff>93075</xdr:colOff>
      <xdr:row>70</xdr:row>
      <xdr:rowOff>297656</xdr:rowOff>
    </xdr:to>
    <xdr:pic>
      <xdr:nvPicPr>
        <xdr:cNvPr id="22" name="Grafik 2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931" y="14584358"/>
          <a:ext cx="187619" cy="267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415926</xdr:colOff>
      <xdr:row>71</xdr:row>
      <xdr:rowOff>19671</xdr:rowOff>
    </xdr:from>
    <xdr:to>
      <xdr:col>7</xdr:col>
      <xdr:colOff>159110</xdr:colOff>
      <xdr:row>71</xdr:row>
      <xdr:rowOff>297657</xdr:rowOff>
    </xdr:to>
    <xdr:pic>
      <xdr:nvPicPr>
        <xdr:cNvPr id="23" name="Grafik 2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5376" y="14888196"/>
          <a:ext cx="324209" cy="277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363540</xdr:colOff>
      <xdr:row>73</xdr:row>
      <xdr:rowOff>18083</xdr:rowOff>
    </xdr:from>
    <xdr:to>
      <xdr:col>7</xdr:col>
      <xdr:colOff>158566</xdr:colOff>
      <xdr:row>73</xdr:row>
      <xdr:rowOff>303612</xdr:rowOff>
    </xdr:to>
    <xdr:pic>
      <xdr:nvPicPr>
        <xdr:cNvPr id="24" name="Grafik 2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628251" y="15469997"/>
          <a:ext cx="285529" cy="376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411162</xdr:colOff>
      <xdr:row>74</xdr:row>
      <xdr:rowOff>30565</xdr:rowOff>
    </xdr:from>
    <xdr:to>
      <xdr:col>7</xdr:col>
      <xdr:colOff>136591</xdr:colOff>
      <xdr:row>74</xdr:row>
      <xdr:rowOff>297656</xdr:rowOff>
    </xdr:to>
    <xdr:pic>
      <xdr:nvPicPr>
        <xdr:cNvPr id="25" name="Grafik 2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650293" y="15822384"/>
          <a:ext cx="267091" cy="306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428093</xdr:colOff>
      <xdr:row>75</xdr:row>
      <xdr:rowOff>16742</xdr:rowOff>
    </xdr:from>
    <xdr:to>
      <xdr:col>7</xdr:col>
      <xdr:colOff>141316</xdr:colOff>
      <xdr:row>75</xdr:row>
      <xdr:rowOff>297657</xdr:rowOff>
    </xdr:to>
    <xdr:pic>
      <xdr:nvPicPr>
        <xdr:cNvPr id="26" name="Grafik 2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7543" y="16142567"/>
          <a:ext cx="294248" cy="28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447990</xdr:colOff>
      <xdr:row>77</xdr:row>
      <xdr:rowOff>16566</xdr:rowOff>
    </xdr:from>
    <xdr:to>
      <xdr:col>7</xdr:col>
      <xdr:colOff>129771</xdr:colOff>
      <xdr:row>77</xdr:row>
      <xdr:rowOff>303610</xdr:rowOff>
    </xdr:to>
    <xdr:pic>
      <xdr:nvPicPr>
        <xdr:cNvPr id="27" name="Grafik 2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440" y="16771041"/>
          <a:ext cx="262806" cy="287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239356</xdr:colOff>
      <xdr:row>78</xdr:row>
      <xdr:rowOff>17067</xdr:rowOff>
    </xdr:from>
    <xdr:to>
      <xdr:col>7</xdr:col>
      <xdr:colOff>303041</xdr:colOff>
      <xdr:row>78</xdr:row>
      <xdr:rowOff>303610</xdr:rowOff>
    </xdr:to>
    <xdr:pic>
      <xdr:nvPicPr>
        <xdr:cNvPr id="28" name="Grafik 2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8806" y="17085867"/>
          <a:ext cx="644710" cy="286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362750</xdr:colOff>
      <xdr:row>79</xdr:row>
      <xdr:rowOff>22480</xdr:rowOff>
    </xdr:from>
    <xdr:to>
      <xdr:col>7</xdr:col>
      <xdr:colOff>180227</xdr:colOff>
      <xdr:row>79</xdr:row>
      <xdr:rowOff>303610</xdr:rowOff>
    </xdr:to>
    <xdr:pic>
      <xdr:nvPicPr>
        <xdr:cNvPr id="29" name="Grafik 29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640886" y="17346919"/>
          <a:ext cx="281130" cy="398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443115</xdr:colOff>
      <xdr:row>80</xdr:row>
      <xdr:rowOff>25509</xdr:rowOff>
    </xdr:from>
    <xdr:to>
      <xdr:col>7</xdr:col>
      <xdr:colOff>120090</xdr:colOff>
      <xdr:row>80</xdr:row>
      <xdr:rowOff>297656</xdr:rowOff>
    </xdr:to>
    <xdr:pic>
      <xdr:nvPicPr>
        <xdr:cNvPr id="30" name="Grafik 3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2565" y="17722959"/>
          <a:ext cx="258000" cy="272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236419</xdr:colOff>
      <xdr:row>81</xdr:row>
      <xdr:rowOff>25918</xdr:rowOff>
    </xdr:from>
    <xdr:to>
      <xdr:col>7</xdr:col>
      <xdr:colOff>305678</xdr:colOff>
      <xdr:row>81</xdr:row>
      <xdr:rowOff>303609</xdr:rowOff>
    </xdr:to>
    <xdr:pic>
      <xdr:nvPicPr>
        <xdr:cNvPr id="31" name="Grafik 3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5869" y="18037693"/>
          <a:ext cx="650284" cy="277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436714</xdr:colOff>
      <xdr:row>82</xdr:row>
      <xdr:rowOff>18654</xdr:rowOff>
    </xdr:from>
    <xdr:to>
      <xdr:col>7</xdr:col>
      <xdr:colOff>125016</xdr:colOff>
      <xdr:row>82</xdr:row>
      <xdr:rowOff>294016</xdr:rowOff>
    </xdr:to>
    <xdr:pic>
      <xdr:nvPicPr>
        <xdr:cNvPr id="32" name="Grafik 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6164" y="18344754"/>
          <a:ext cx="269327" cy="275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87842</xdr:colOff>
      <xdr:row>84</xdr:row>
      <xdr:rowOff>25715</xdr:rowOff>
    </xdr:from>
    <xdr:to>
      <xdr:col>7</xdr:col>
      <xdr:colOff>481542</xdr:colOff>
      <xdr:row>84</xdr:row>
      <xdr:rowOff>303131</xdr:rowOff>
    </xdr:to>
    <xdr:pic>
      <xdr:nvPicPr>
        <xdr:cNvPr id="33" name="Grafik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292" y="18980465"/>
          <a:ext cx="974725" cy="277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388980</xdr:colOff>
      <xdr:row>63</xdr:row>
      <xdr:rowOff>13970</xdr:rowOff>
    </xdr:from>
    <xdr:to>
      <xdr:col>7</xdr:col>
      <xdr:colOff>216317</xdr:colOff>
      <xdr:row>63</xdr:row>
      <xdr:rowOff>301740</xdr:rowOff>
    </xdr:to>
    <xdr:pic>
      <xdr:nvPicPr>
        <xdr:cNvPr id="34" name="Grafik 1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76" t="21647" r="24949" b="23985"/>
        <a:stretch/>
      </xdr:blipFill>
      <xdr:spPr bwMode="auto">
        <a:xfrm>
          <a:off x="3608430" y="12367895"/>
          <a:ext cx="408362" cy="287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20</xdr:col>
      <xdr:colOff>346115</xdr:colOff>
      <xdr:row>16</xdr:row>
      <xdr:rowOff>27749</xdr:rowOff>
    </xdr:from>
    <xdr:ext cx="214420" cy="142583"/>
    <xdr:pic>
      <xdr:nvPicPr>
        <xdr:cNvPr id="35" name="Grafik 3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915" y="3513899"/>
          <a:ext cx="214420" cy="14258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8</xdr:row>
          <xdr:rowOff>19050</xdr:rowOff>
        </xdr:from>
        <xdr:to>
          <xdr:col>22</xdr:col>
          <xdr:colOff>161925</xdr:colOff>
          <xdr:row>8</xdr:row>
          <xdr:rowOff>171450</xdr:rowOff>
        </xdr:to>
        <xdr:sp macro="" textlink="">
          <xdr:nvSpPr>
            <xdr:cNvPr id="2065" name="Option Button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9</xdr:row>
          <xdr:rowOff>19050</xdr:rowOff>
        </xdr:from>
        <xdr:to>
          <xdr:col>22</xdr:col>
          <xdr:colOff>161925</xdr:colOff>
          <xdr:row>9</xdr:row>
          <xdr:rowOff>171450</xdr:rowOff>
        </xdr:to>
        <xdr:sp macro="" textlink="">
          <xdr:nvSpPr>
            <xdr:cNvPr id="2066" name="Option Button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20</xdr:col>
      <xdr:colOff>344978</xdr:colOff>
      <xdr:row>8</xdr:row>
      <xdr:rowOff>28323</xdr:rowOff>
    </xdr:from>
    <xdr:to>
      <xdr:col>20</xdr:col>
      <xdr:colOff>561196</xdr:colOff>
      <xdr:row>8</xdr:row>
      <xdr:rowOff>158436</xdr:rowOff>
    </xdr:to>
    <xdr:pic>
      <xdr:nvPicPr>
        <xdr:cNvPr id="38" name="Grafik 37"/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778" y="1990473"/>
          <a:ext cx="216218" cy="130113"/>
        </a:xfrm>
        <a:prstGeom prst="rect">
          <a:avLst/>
        </a:prstGeom>
      </xdr:spPr>
    </xdr:pic>
    <xdr:clientData/>
  </xdr:twoCellAnchor>
  <xdr:twoCellAnchor editAs="oneCell">
    <xdr:from>
      <xdr:col>20</xdr:col>
      <xdr:colOff>345196</xdr:colOff>
      <xdr:row>9</xdr:row>
      <xdr:rowOff>26809</xdr:rowOff>
    </xdr:from>
    <xdr:to>
      <xdr:col>20</xdr:col>
      <xdr:colOff>561196</xdr:colOff>
      <xdr:row>9</xdr:row>
      <xdr:rowOff>170809</xdr:rowOff>
    </xdr:to>
    <xdr:pic>
      <xdr:nvPicPr>
        <xdr:cNvPr id="39" name="Grafik 38"/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996" y="2179459"/>
          <a:ext cx="216000" cy="144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345454</xdr:colOff>
      <xdr:row>10</xdr:row>
      <xdr:rowOff>31457</xdr:rowOff>
    </xdr:from>
    <xdr:to>
      <xdr:col>20</xdr:col>
      <xdr:colOff>561196</xdr:colOff>
      <xdr:row>10</xdr:row>
      <xdr:rowOff>175285</xdr:rowOff>
    </xdr:to>
    <xdr:pic>
      <xdr:nvPicPr>
        <xdr:cNvPr id="40" name="Grafik 39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254" y="2374607"/>
          <a:ext cx="215742" cy="143828"/>
        </a:xfrm>
        <a:prstGeom prst="rect">
          <a:avLst/>
        </a:prstGeom>
      </xdr:spPr>
    </xdr:pic>
    <xdr:clientData/>
  </xdr:twoCellAnchor>
  <xdr:twoCellAnchor editAs="oneCell">
    <xdr:from>
      <xdr:col>20</xdr:col>
      <xdr:colOff>345454</xdr:colOff>
      <xdr:row>11</xdr:row>
      <xdr:rowOff>31457</xdr:rowOff>
    </xdr:from>
    <xdr:to>
      <xdr:col>20</xdr:col>
      <xdr:colOff>561196</xdr:colOff>
      <xdr:row>11</xdr:row>
      <xdr:rowOff>175285</xdr:rowOff>
    </xdr:to>
    <xdr:pic>
      <xdr:nvPicPr>
        <xdr:cNvPr id="41" name="Grafik 40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254" y="2565107"/>
          <a:ext cx="215742" cy="143828"/>
        </a:xfrm>
        <a:prstGeom prst="rect">
          <a:avLst/>
        </a:prstGeom>
      </xdr:spPr>
    </xdr:pic>
    <xdr:clientData/>
  </xdr:twoCellAnchor>
  <xdr:twoCellAnchor editAs="oneCell">
    <xdr:from>
      <xdr:col>20</xdr:col>
      <xdr:colOff>345454</xdr:colOff>
      <xdr:row>12</xdr:row>
      <xdr:rowOff>31615</xdr:rowOff>
    </xdr:from>
    <xdr:to>
      <xdr:col>20</xdr:col>
      <xdr:colOff>561196</xdr:colOff>
      <xdr:row>12</xdr:row>
      <xdr:rowOff>175126</xdr:rowOff>
    </xdr:to>
    <xdr:pic>
      <xdr:nvPicPr>
        <xdr:cNvPr id="42" name="Grafik 41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254" y="2755765"/>
          <a:ext cx="215742" cy="143511"/>
        </a:xfrm>
        <a:prstGeom prst="rect">
          <a:avLst/>
        </a:prstGeom>
      </xdr:spPr>
    </xdr:pic>
    <xdr:clientData/>
  </xdr:twoCellAnchor>
  <xdr:twoCellAnchor editAs="oneCell">
    <xdr:from>
      <xdr:col>20</xdr:col>
      <xdr:colOff>345454</xdr:colOff>
      <xdr:row>13</xdr:row>
      <xdr:rowOff>26617</xdr:rowOff>
    </xdr:from>
    <xdr:to>
      <xdr:col>20</xdr:col>
      <xdr:colOff>561196</xdr:colOff>
      <xdr:row>13</xdr:row>
      <xdr:rowOff>170617</xdr:rowOff>
    </xdr:to>
    <xdr:pic>
      <xdr:nvPicPr>
        <xdr:cNvPr id="43" name="Grafik 42"/>
        <xdr:cNvPicPr preferRelativeResize="0"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254" y="2941267"/>
          <a:ext cx="215742" cy="144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345454</xdr:colOff>
      <xdr:row>14</xdr:row>
      <xdr:rowOff>26520</xdr:rowOff>
    </xdr:from>
    <xdr:to>
      <xdr:col>20</xdr:col>
      <xdr:colOff>561196</xdr:colOff>
      <xdr:row>14</xdr:row>
      <xdr:rowOff>170520</xdr:rowOff>
    </xdr:to>
    <xdr:pic>
      <xdr:nvPicPr>
        <xdr:cNvPr id="44" name="Grafik 43"/>
        <xdr:cNvPicPr preferRelativeResize="0"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254" y="3131670"/>
          <a:ext cx="215742" cy="144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346115</xdr:colOff>
      <xdr:row>15</xdr:row>
      <xdr:rowOff>27285</xdr:rowOff>
    </xdr:from>
    <xdr:to>
      <xdr:col>20</xdr:col>
      <xdr:colOff>560535</xdr:colOff>
      <xdr:row>15</xdr:row>
      <xdr:rowOff>170796</xdr:rowOff>
    </xdr:to>
    <xdr:pic>
      <xdr:nvPicPr>
        <xdr:cNvPr id="45" name="Grafik 44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915" y="3322935"/>
          <a:ext cx="214420" cy="14351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10</xdr:row>
          <xdr:rowOff>19050</xdr:rowOff>
        </xdr:from>
        <xdr:to>
          <xdr:col>22</xdr:col>
          <xdr:colOff>161925</xdr:colOff>
          <xdr:row>10</xdr:row>
          <xdr:rowOff>171450</xdr:rowOff>
        </xdr:to>
        <xdr:sp macro="" textlink="">
          <xdr:nvSpPr>
            <xdr:cNvPr id="2067" name="Option Button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11</xdr:row>
          <xdr:rowOff>28575</xdr:rowOff>
        </xdr:from>
        <xdr:to>
          <xdr:col>21</xdr:col>
          <xdr:colOff>533400</xdr:colOff>
          <xdr:row>11</xdr:row>
          <xdr:rowOff>171450</xdr:rowOff>
        </xdr:to>
        <xdr:sp macro="" textlink="">
          <xdr:nvSpPr>
            <xdr:cNvPr id="2068" name="Option Button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12</xdr:row>
          <xdr:rowOff>28575</xdr:rowOff>
        </xdr:from>
        <xdr:to>
          <xdr:col>22</xdr:col>
          <xdr:colOff>161925</xdr:colOff>
          <xdr:row>12</xdr:row>
          <xdr:rowOff>180975</xdr:rowOff>
        </xdr:to>
        <xdr:sp macro="" textlink="">
          <xdr:nvSpPr>
            <xdr:cNvPr id="2069" name="Option Button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13</xdr:row>
          <xdr:rowOff>38100</xdr:rowOff>
        </xdr:from>
        <xdr:to>
          <xdr:col>22</xdr:col>
          <xdr:colOff>161925</xdr:colOff>
          <xdr:row>14</xdr:row>
          <xdr:rowOff>0</xdr:rowOff>
        </xdr:to>
        <xdr:sp macro="" textlink="">
          <xdr:nvSpPr>
            <xdr:cNvPr id="2070" name="Option Butto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14</xdr:row>
          <xdr:rowOff>28575</xdr:rowOff>
        </xdr:from>
        <xdr:to>
          <xdr:col>22</xdr:col>
          <xdr:colOff>161925</xdr:colOff>
          <xdr:row>14</xdr:row>
          <xdr:rowOff>180975</xdr:rowOff>
        </xdr:to>
        <xdr:sp macro="" textlink="">
          <xdr:nvSpPr>
            <xdr:cNvPr id="2071" name="Option Button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15</xdr:row>
          <xdr:rowOff>28575</xdr:rowOff>
        </xdr:from>
        <xdr:to>
          <xdr:col>22</xdr:col>
          <xdr:colOff>190500</xdr:colOff>
          <xdr:row>15</xdr:row>
          <xdr:rowOff>171450</xdr:rowOff>
        </xdr:to>
        <xdr:sp macro="" textlink="">
          <xdr:nvSpPr>
            <xdr:cNvPr id="2072" name="Option Button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16</xdr:row>
          <xdr:rowOff>28575</xdr:rowOff>
        </xdr:from>
        <xdr:to>
          <xdr:col>22</xdr:col>
          <xdr:colOff>161925</xdr:colOff>
          <xdr:row>16</xdr:row>
          <xdr:rowOff>180975</xdr:rowOff>
        </xdr:to>
        <xdr:sp macro="" textlink="">
          <xdr:nvSpPr>
            <xdr:cNvPr id="2073" name="Option Button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333375</xdr:colOff>
          <xdr:row>17</xdr:row>
          <xdr:rowOff>28575</xdr:rowOff>
        </xdr:from>
        <xdr:to>
          <xdr:col>22</xdr:col>
          <xdr:colOff>485775</xdr:colOff>
          <xdr:row>17</xdr:row>
          <xdr:rowOff>171450</xdr:rowOff>
        </xdr:to>
        <xdr:sp macro="" textlink="">
          <xdr:nvSpPr>
            <xdr:cNvPr id="2074" name="Option Button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</xdr:row>
          <xdr:rowOff>0</xdr:rowOff>
        </xdr:from>
        <xdr:to>
          <xdr:col>23</xdr:col>
          <xdr:colOff>0</xdr:colOff>
          <xdr:row>22</xdr:row>
          <xdr:rowOff>0</xdr:rowOff>
        </xdr:to>
        <xdr:sp macro="" textlink="">
          <xdr:nvSpPr>
            <xdr:cNvPr id="2075" name="Group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oneCellAnchor>
    <xdr:from>
      <xdr:col>20</xdr:col>
      <xdr:colOff>346115</xdr:colOff>
      <xdr:row>17</xdr:row>
      <xdr:rowOff>45435</xdr:rowOff>
    </xdr:from>
    <xdr:ext cx="214420" cy="107210"/>
    <xdr:pic>
      <xdr:nvPicPr>
        <xdr:cNvPr id="55" name="Grafik 54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915" y="3722085"/>
          <a:ext cx="214420" cy="10721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18</xdr:row>
          <xdr:rowOff>19050</xdr:rowOff>
        </xdr:from>
        <xdr:to>
          <xdr:col>22</xdr:col>
          <xdr:colOff>161925</xdr:colOff>
          <xdr:row>18</xdr:row>
          <xdr:rowOff>171450</xdr:rowOff>
        </xdr:to>
        <xdr:sp macro="" textlink="">
          <xdr:nvSpPr>
            <xdr:cNvPr id="2076" name="Option Button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346115</xdr:colOff>
      <xdr:row>18</xdr:row>
      <xdr:rowOff>45435</xdr:rowOff>
    </xdr:from>
    <xdr:ext cx="216000" cy="108000"/>
    <xdr:pic>
      <xdr:nvPicPr>
        <xdr:cNvPr id="57" name="Grafik 56"/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915" y="3912585"/>
          <a:ext cx="216000" cy="108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19</xdr:row>
          <xdr:rowOff>19050</xdr:rowOff>
        </xdr:from>
        <xdr:to>
          <xdr:col>22</xdr:col>
          <xdr:colOff>161925</xdr:colOff>
          <xdr:row>19</xdr:row>
          <xdr:rowOff>171450</xdr:rowOff>
        </xdr:to>
        <xdr:sp macro="" textlink="">
          <xdr:nvSpPr>
            <xdr:cNvPr id="2077" name="Option Button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346115</xdr:colOff>
      <xdr:row>19</xdr:row>
      <xdr:rowOff>42033</xdr:rowOff>
    </xdr:from>
    <xdr:ext cx="216000" cy="108000"/>
    <xdr:pic>
      <xdr:nvPicPr>
        <xdr:cNvPr id="59" name="Grafik 58"/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915" y="4099683"/>
          <a:ext cx="216000" cy="108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20</xdr:row>
          <xdr:rowOff>19050</xdr:rowOff>
        </xdr:from>
        <xdr:to>
          <xdr:col>22</xdr:col>
          <xdr:colOff>161925</xdr:colOff>
          <xdr:row>20</xdr:row>
          <xdr:rowOff>171450</xdr:rowOff>
        </xdr:to>
        <xdr:sp macro="" textlink="">
          <xdr:nvSpPr>
            <xdr:cNvPr id="2078" name="Option Button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346115</xdr:colOff>
      <xdr:row>20</xdr:row>
      <xdr:rowOff>41601</xdr:rowOff>
    </xdr:from>
    <xdr:ext cx="216000" cy="108000"/>
    <xdr:pic>
      <xdr:nvPicPr>
        <xdr:cNvPr id="61" name="Grafik 60"/>
        <xdr:cNvPicPr preferRelativeResize="0"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915" y="4289751"/>
          <a:ext cx="216000" cy="108000"/>
        </a:xfrm>
        <a:prstGeom prst="rect">
          <a:avLst/>
        </a:prstGeom>
      </xdr:spPr>
    </xdr:pic>
    <xdr:clientData/>
  </xdr:oneCellAnchor>
  <xdr:twoCellAnchor>
    <xdr:from>
      <xdr:col>20</xdr:col>
      <xdr:colOff>142875</xdr:colOff>
      <xdr:row>17</xdr:row>
      <xdr:rowOff>9756</xdr:rowOff>
    </xdr:from>
    <xdr:to>
      <xdr:col>22</xdr:col>
      <xdr:colOff>523875</xdr:colOff>
      <xdr:row>17</xdr:row>
      <xdr:rowOff>181206</xdr:rowOff>
    </xdr:to>
    <xdr:sp macro="" textlink="">
      <xdr:nvSpPr>
        <xdr:cNvPr id="62" name="Rechteck 61"/>
        <xdr:cNvSpPr/>
      </xdr:nvSpPr>
      <xdr:spPr>
        <a:xfrm>
          <a:off x="11496675" y="3686406"/>
          <a:ext cx="1543050" cy="1714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21</xdr:row>
          <xdr:rowOff>19050</xdr:rowOff>
        </xdr:from>
        <xdr:to>
          <xdr:col>22</xdr:col>
          <xdr:colOff>161925</xdr:colOff>
          <xdr:row>21</xdr:row>
          <xdr:rowOff>171450</xdr:rowOff>
        </xdr:to>
        <xdr:sp macro="" textlink="">
          <xdr:nvSpPr>
            <xdr:cNvPr id="2079" name="Option Button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346115</xdr:colOff>
      <xdr:row>21</xdr:row>
      <xdr:rowOff>41959</xdr:rowOff>
    </xdr:from>
    <xdr:ext cx="216000" cy="107284"/>
    <xdr:pic>
      <xdr:nvPicPr>
        <xdr:cNvPr id="64" name="Grafik 63"/>
        <xdr:cNvPicPr preferRelativeResize="0"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9915" y="4480609"/>
          <a:ext cx="216000" cy="107284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14</xdr:row>
          <xdr:rowOff>0</xdr:rowOff>
        </xdr:from>
        <xdr:to>
          <xdr:col>13</xdr:col>
          <xdr:colOff>0</xdr:colOff>
          <xdr:row>15</xdr:row>
          <xdr:rowOff>0</xdr:rowOff>
        </xdr:to>
        <xdr:sp macro="" textlink="">
          <xdr:nvSpPr>
            <xdr:cNvPr id="2080" name="Group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428625</xdr:colOff>
          <xdr:row>14</xdr:row>
          <xdr:rowOff>28575</xdr:rowOff>
        </xdr:from>
        <xdr:to>
          <xdr:col>11</xdr:col>
          <xdr:colOff>314325</xdr:colOff>
          <xdr:row>15</xdr:row>
          <xdr:rowOff>0</xdr:rowOff>
        </xdr:to>
        <xdr:sp macro="" textlink="">
          <xdr:nvSpPr>
            <xdr:cNvPr id="2081" name="Option Button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438150</xdr:colOff>
          <xdr:row>14</xdr:row>
          <xdr:rowOff>28575</xdr:rowOff>
        </xdr:from>
        <xdr:to>
          <xdr:col>12</xdr:col>
          <xdr:colOff>323850</xdr:colOff>
          <xdr:row>15</xdr:row>
          <xdr:rowOff>0</xdr:rowOff>
        </xdr:to>
        <xdr:sp macro="" textlink="">
          <xdr:nvSpPr>
            <xdr:cNvPr id="2082" name="Option Button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295275</xdr:colOff>
          <xdr:row>86</xdr:row>
          <xdr:rowOff>28575</xdr:rowOff>
        </xdr:from>
        <xdr:to>
          <xdr:col>7</xdr:col>
          <xdr:colOff>247650</xdr:colOff>
          <xdr:row>86</xdr:row>
          <xdr:rowOff>295275</xdr:rowOff>
        </xdr:to>
        <xdr:sp macro="" textlink="">
          <xdr:nvSpPr>
            <xdr:cNvPr id="2083" name="Object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361950</xdr:colOff>
      <xdr:row>61</xdr:row>
      <xdr:rowOff>19009</xdr:rowOff>
    </xdr:from>
    <xdr:to>
      <xdr:col>7</xdr:col>
      <xdr:colOff>242419</xdr:colOff>
      <xdr:row>61</xdr:row>
      <xdr:rowOff>305141</xdr:rowOff>
    </xdr:to>
    <xdr:pic>
      <xdr:nvPicPr>
        <xdr:cNvPr id="69" name="Grafik 1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3" t="15510" r="13074" b="10428"/>
        <a:stretch/>
      </xdr:blipFill>
      <xdr:spPr bwMode="auto">
        <a:xfrm>
          <a:off x="3581400" y="11744284"/>
          <a:ext cx="461494" cy="286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504825</xdr:colOff>
          <xdr:row>20</xdr:row>
          <xdr:rowOff>19050</xdr:rowOff>
        </xdr:from>
        <xdr:to>
          <xdr:col>7</xdr:col>
          <xdr:colOff>457200</xdr:colOff>
          <xdr:row>20</xdr:row>
          <xdr:rowOff>180975</xdr:rowOff>
        </xdr:to>
        <xdr:sp macro="" textlink="">
          <xdr:nvSpPr>
            <xdr:cNvPr id="2084" name="Option Button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19</xdr:row>
          <xdr:rowOff>9525</xdr:rowOff>
        </xdr:from>
        <xdr:to>
          <xdr:col>10</xdr:col>
          <xdr:colOff>361950</xdr:colOff>
          <xdr:row>19</xdr:row>
          <xdr:rowOff>171450</xdr:rowOff>
        </xdr:to>
        <xdr:sp macro="" textlink="">
          <xdr:nvSpPr>
            <xdr:cNvPr id="2085" name="Option Button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20</xdr:row>
          <xdr:rowOff>19050</xdr:rowOff>
        </xdr:from>
        <xdr:to>
          <xdr:col>10</xdr:col>
          <xdr:colOff>361950</xdr:colOff>
          <xdr:row>20</xdr:row>
          <xdr:rowOff>180975</xdr:rowOff>
        </xdr:to>
        <xdr:sp macro="" textlink="">
          <xdr:nvSpPr>
            <xdr:cNvPr id="2086" name="Option Button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268941</xdr:colOff>
      <xdr:row>85</xdr:row>
      <xdr:rowOff>33617</xdr:rowOff>
    </xdr:from>
    <xdr:to>
      <xdr:col>7</xdr:col>
      <xdr:colOff>190997</xdr:colOff>
      <xdr:row>85</xdr:row>
      <xdr:rowOff>290760</xdr:rowOff>
    </xdr:to>
    <xdr:pic>
      <xdr:nvPicPr>
        <xdr:cNvPr id="73" name="Grafik 7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488391" y="19302692"/>
          <a:ext cx="503081" cy="257143"/>
        </a:xfrm>
        <a:prstGeom prst="rect">
          <a:avLst/>
        </a:prstGeom>
      </xdr:spPr>
    </xdr:pic>
    <xdr:clientData/>
  </xdr:twoCellAnchor>
  <xdr:twoCellAnchor>
    <xdr:from>
      <xdr:col>6</xdr:col>
      <xdr:colOff>352426</xdr:colOff>
      <xdr:row>68</xdr:row>
      <xdr:rowOff>19050</xdr:rowOff>
    </xdr:from>
    <xdr:to>
      <xdr:col>7</xdr:col>
      <xdr:colOff>295275</xdr:colOff>
      <xdr:row>68</xdr:row>
      <xdr:rowOff>295275</xdr:rowOff>
    </xdr:to>
    <xdr:pic>
      <xdr:nvPicPr>
        <xdr:cNvPr id="74" name="Grafik 7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571876" y="13944600"/>
          <a:ext cx="523874" cy="276225"/>
        </a:xfrm>
        <a:prstGeom prst="rect">
          <a:avLst/>
        </a:prstGeom>
      </xdr:spPr>
    </xdr:pic>
    <xdr:clientData/>
  </xdr:twoCellAnchor>
  <xdr:twoCellAnchor>
    <xdr:from>
      <xdr:col>6</xdr:col>
      <xdr:colOff>419022</xdr:colOff>
      <xdr:row>67</xdr:row>
      <xdr:rowOff>38100</xdr:rowOff>
    </xdr:from>
    <xdr:to>
      <xdr:col>7</xdr:col>
      <xdr:colOff>209471</xdr:colOff>
      <xdr:row>67</xdr:row>
      <xdr:rowOff>285750</xdr:rowOff>
    </xdr:to>
    <xdr:pic>
      <xdr:nvPicPr>
        <xdr:cNvPr id="75" name="Grafik 7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638472" y="13649325"/>
          <a:ext cx="371474" cy="247650"/>
        </a:xfrm>
        <a:prstGeom prst="rect">
          <a:avLst/>
        </a:prstGeom>
      </xdr:spPr>
    </xdr:pic>
    <xdr:clientData/>
  </xdr:twoCellAnchor>
  <xdr:twoCellAnchor>
    <xdr:from>
      <xdr:col>6</xdr:col>
      <xdr:colOff>428625</xdr:colOff>
      <xdr:row>83</xdr:row>
      <xdr:rowOff>28575</xdr:rowOff>
    </xdr:from>
    <xdr:to>
      <xdr:col>7</xdr:col>
      <xdr:colOff>121075</xdr:colOff>
      <xdr:row>83</xdr:row>
      <xdr:rowOff>285750</xdr:rowOff>
    </xdr:to>
    <xdr:pic>
      <xdr:nvPicPr>
        <xdr:cNvPr id="76" name="Grafik 7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648075" y="18669000"/>
          <a:ext cx="273475" cy="257175"/>
        </a:xfrm>
        <a:prstGeom prst="rect">
          <a:avLst/>
        </a:prstGeom>
      </xdr:spPr>
    </xdr:pic>
    <xdr:clientData/>
  </xdr:twoCellAnchor>
  <xdr:twoCellAnchor>
    <xdr:from>
      <xdr:col>6</xdr:col>
      <xdr:colOff>376262</xdr:colOff>
      <xdr:row>72</xdr:row>
      <xdr:rowOff>33317</xdr:rowOff>
    </xdr:from>
    <xdr:to>
      <xdr:col>7</xdr:col>
      <xdr:colOff>152400</xdr:colOff>
      <xdr:row>72</xdr:row>
      <xdr:rowOff>295391</xdr:rowOff>
    </xdr:to>
    <xdr:pic>
      <xdr:nvPicPr>
        <xdr:cNvPr id="77" name="Grafik 7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5400000">
          <a:off x="3643257" y="15168622"/>
          <a:ext cx="262074" cy="357163"/>
        </a:xfrm>
        <a:prstGeom prst="rect">
          <a:avLst/>
        </a:prstGeom>
      </xdr:spPr>
    </xdr:pic>
    <xdr:clientData/>
  </xdr:twoCellAnchor>
  <xdr:twoCellAnchor>
    <xdr:from>
      <xdr:col>6</xdr:col>
      <xdr:colOff>361950</xdr:colOff>
      <xdr:row>62</xdr:row>
      <xdr:rowOff>19009</xdr:rowOff>
    </xdr:from>
    <xdr:to>
      <xdr:col>7</xdr:col>
      <xdr:colOff>242419</xdr:colOff>
      <xdr:row>62</xdr:row>
      <xdr:rowOff>305141</xdr:rowOff>
    </xdr:to>
    <xdr:pic>
      <xdr:nvPicPr>
        <xdr:cNvPr id="78" name="Grafik 1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3" t="15510" r="13074" b="10428"/>
        <a:stretch/>
      </xdr:blipFill>
      <xdr:spPr bwMode="auto">
        <a:xfrm>
          <a:off x="3581400" y="12058609"/>
          <a:ext cx="461494" cy="286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466725</xdr:colOff>
      <xdr:row>64</xdr:row>
      <xdr:rowOff>26081</xdr:rowOff>
    </xdr:from>
    <xdr:to>
      <xdr:col>7</xdr:col>
      <xdr:colOff>104775</xdr:colOff>
      <xdr:row>64</xdr:row>
      <xdr:rowOff>286232</xdr:rowOff>
    </xdr:to>
    <xdr:pic>
      <xdr:nvPicPr>
        <xdr:cNvPr id="79" name="Grafik 7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686175" y="12694331"/>
          <a:ext cx="219075" cy="260151"/>
        </a:xfrm>
        <a:prstGeom prst="rect">
          <a:avLst/>
        </a:prstGeom>
      </xdr:spPr>
    </xdr:pic>
    <xdr:clientData/>
  </xdr:twoCellAnchor>
  <xdr:twoCellAnchor editAs="oneCell">
    <xdr:from>
      <xdr:col>9</xdr:col>
      <xdr:colOff>18586</xdr:colOff>
      <xdr:row>0</xdr:row>
      <xdr:rowOff>314325</xdr:rowOff>
    </xdr:from>
    <xdr:to>
      <xdr:col>13</xdr:col>
      <xdr:colOff>152182</xdr:colOff>
      <xdr:row>5</xdr:row>
      <xdr:rowOff>76102</xdr:rowOff>
    </xdr:to>
    <xdr:pic>
      <xdr:nvPicPr>
        <xdr:cNvPr id="80" name="Grafik 7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981111" y="314325"/>
          <a:ext cx="2457696" cy="1095277"/>
        </a:xfrm>
        <a:prstGeom prst="rect">
          <a:avLst/>
        </a:prstGeom>
      </xdr:spPr>
    </xdr:pic>
    <xdr:clientData/>
  </xdr:twoCellAnchor>
  <xdr:twoCellAnchor editAs="oneCell">
    <xdr:from>
      <xdr:col>6</xdr:col>
      <xdr:colOff>428093</xdr:colOff>
      <xdr:row>76</xdr:row>
      <xdr:rowOff>16742</xdr:rowOff>
    </xdr:from>
    <xdr:to>
      <xdr:col>7</xdr:col>
      <xdr:colOff>141316</xdr:colOff>
      <xdr:row>76</xdr:row>
      <xdr:rowOff>297657</xdr:rowOff>
    </xdr:to>
    <xdr:pic>
      <xdr:nvPicPr>
        <xdr:cNvPr id="81" name="Grafik 2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7543" y="16456892"/>
          <a:ext cx="294248" cy="28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</xdr:row>
      <xdr:rowOff>180974</xdr:rowOff>
    </xdr:from>
    <xdr:to>
      <xdr:col>6</xdr:col>
      <xdr:colOff>476250</xdr:colOff>
      <xdr:row>5</xdr:row>
      <xdr:rowOff>30216</xdr:rowOff>
    </xdr:to>
    <xdr:pic>
      <xdr:nvPicPr>
        <xdr:cNvPr id="82" name="Grafik 8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114550" y="533399"/>
          <a:ext cx="1581150" cy="830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9" Type="http://schemas.openxmlformats.org/officeDocument/2006/relationships/ctrlProp" Target="../ctrlProps/ctrlProp34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61" Type="http://schemas.openxmlformats.org/officeDocument/2006/relationships/ctrlProp" Target="../ctrlProps/ctrlProp56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56" Type="http://schemas.openxmlformats.org/officeDocument/2006/relationships/ctrlProp" Target="../ctrlProps/ctrlProp51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13" Type="http://schemas.openxmlformats.org/officeDocument/2006/relationships/ctrlProp" Target="../ctrlProps/ctrlProp64.xml"/><Relationship Id="rId18" Type="http://schemas.openxmlformats.org/officeDocument/2006/relationships/ctrlProp" Target="../ctrlProps/ctrlProp69.xml"/><Relationship Id="rId26" Type="http://schemas.openxmlformats.org/officeDocument/2006/relationships/ctrlProp" Target="../ctrlProps/ctrlProp77.xml"/><Relationship Id="rId39" Type="http://schemas.openxmlformats.org/officeDocument/2006/relationships/ctrlProp" Target="../ctrlProps/ctrlProp9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72.xml"/><Relationship Id="rId34" Type="http://schemas.openxmlformats.org/officeDocument/2006/relationships/ctrlProp" Target="../ctrlProps/ctrlProp85.xml"/><Relationship Id="rId42" Type="http://schemas.openxmlformats.org/officeDocument/2006/relationships/ctrlProp" Target="../ctrlProps/ctrlProp93.xml"/><Relationship Id="rId7" Type="http://schemas.openxmlformats.org/officeDocument/2006/relationships/ctrlProp" Target="../ctrlProps/ctrlProp58.xml"/><Relationship Id="rId12" Type="http://schemas.openxmlformats.org/officeDocument/2006/relationships/ctrlProp" Target="../ctrlProps/ctrlProp63.xml"/><Relationship Id="rId17" Type="http://schemas.openxmlformats.org/officeDocument/2006/relationships/ctrlProp" Target="../ctrlProps/ctrlProp68.xml"/><Relationship Id="rId25" Type="http://schemas.openxmlformats.org/officeDocument/2006/relationships/ctrlProp" Target="../ctrlProps/ctrlProp76.xml"/><Relationship Id="rId33" Type="http://schemas.openxmlformats.org/officeDocument/2006/relationships/ctrlProp" Target="../ctrlProps/ctrlProp84.xml"/><Relationship Id="rId38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7.xml"/><Relationship Id="rId20" Type="http://schemas.openxmlformats.org/officeDocument/2006/relationships/ctrlProp" Target="../ctrlProps/ctrlProp71.xml"/><Relationship Id="rId29" Type="http://schemas.openxmlformats.org/officeDocument/2006/relationships/ctrlProp" Target="../ctrlProps/ctrlProp80.xml"/><Relationship Id="rId41" Type="http://schemas.openxmlformats.org/officeDocument/2006/relationships/ctrlProp" Target="../ctrlProps/ctrlProp9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7.xml"/><Relationship Id="rId11" Type="http://schemas.openxmlformats.org/officeDocument/2006/relationships/ctrlProp" Target="../ctrlProps/ctrlProp62.xml"/><Relationship Id="rId24" Type="http://schemas.openxmlformats.org/officeDocument/2006/relationships/ctrlProp" Target="../ctrlProps/ctrlProp75.xml"/><Relationship Id="rId32" Type="http://schemas.openxmlformats.org/officeDocument/2006/relationships/ctrlProp" Target="../ctrlProps/ctrlProp83.xml"/><Relationship Id="rId37" Type="http://schemas.openxmlformats.org/officeDocument/2006/relationships/ctrlProp" Target="../ctrlProps/ctrlProp88.xml"/><Relationship Id="rId40" Type="http://schemas.openxmlformats.org/officeDocument/2006/relationships/ctrlProp" Target="../ctrlProps/ctrlProp91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66.xml"/><Relationship Id="rId23" Type="http://schemas.openxmlformats.org/officeDocument/2006/relationships/ctrlProp" Target="../ctrlProps/ctrlProp74.xml"/><Relationship Id="rId28" Type="http://schemas.openxmlformats.org/officeDocument/2006/relationships/ctrlProp" Target="../ctrlProps/ctrlProp79.xml"/><Relationship Id="rId36" Type="http://schemas.openxmlformats.org/officeDocument/2006/relationships/ctrlProp" Target="../ctrlProps/ctrlProp87.xml"/><Relationship Id="rId10" Type="http://schemas.openxmlformats.org/officeDocument/2006/relationships/ctrlProp" Target="../ctrlProps/ctrlProp61.xml"/><Relationship Id="rId19" Type="http://schemas.openxmlformats.org/officeDocument/2006/relationships/ctrlProp" Target="../ctrlProps/ctrlProp70.xml"/><Relationship Id="rId31" Type="http://schemas.openxmlformats.org/officeDocument/2006/relationships/ctrlProp" Target="../ctrlProps/ctrlProp82.xml"/><Relationship Id="rId4" Type="http://schemas.openxmlformats.org/officeDocument/2006/relationships/oleObject" Target="../embeddings/oleObject2.bin"/><Relationship Id="rId9" Type="http://schemas.openxmlformats.org/officeDocument/2006/relationships/ctrlProp" Target="../ctrlProps/ctrlProp60.xml"/><Relationship Id="rId14" Type="http://schemas.openxmlformats.org/officeDocument/2006/relationships/ctrlProp" Target="../ctrlProps/ctrlProp65.xml"/><Relationship Id="rId22" Type="http://schemas.openxmlformats.org/officeDocument/2006/relationships/ctrlProp" Target="../ctrlProps/ctrlProp73.xml"/><Relationship Id="rId27" Type="http://schemas.openxmlformats.org/officeDocument/2006/relationships/ctrlProp" Target="../ctrlProps/ctrlProp78.xml"/><Relationship Id="rId30" Type="http://schemas.openxmlformats.org/officeDocument/2006/relationships/ctrlProp" Target="../ctrlProps/ctrlProp81.xml"/><Relationship Id="rId35" Type="http://schemas.openxmlformats.org/officeDocument/2006/relationships/ctrlProp" Target="../ctrlProps/ctrlProp8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107"/>
  <sheetViews>
    <sheetView showGridLines="0" showZeros="0" tabSelected="1" zoomScaleNormal="100" zoomScaleSheetLayoutView="100" workbookViewId="0">
      <selection activeCell="D8" sqref="D8:H8"/>
    </sheetView>
  </sheetViews>
  <sheetFormatPr baseColWidth="10" defaultColWidth="0" defaultRowHeight="0" customHeight="1" zeroHeight="1" x14ac:dyDescent="0.25"/>
  <cols>
    <col min="1" max="1" width="4.7109375" style="1" customWidth="1"/>
    <col min="2" max="23" width="8.7109375" style="1" customWidth="1"/>
    <col min="24" max="24" width="8.7109375" style="2" customWidth="1"/>
    <col min="25" max="25" width="5.28515625" style="1" customWidth="1"/>
    <col min="26" max="16384" width="11.42578125" style="1" hidden="1"/>
  </cols>
  <sheetData>
    <row r="1" spans="2:40" ht="27.75" x14ac:dyDescent="0.25">
      <c r="X1" s="27" t="str">
        <f>VLOOKUP("PREFA FASSADENSYSTEME",Sprachindex!$A:$W,$Z$7,FALSE)</f>
        <v>FAÇADES PREFA</v>
      </c>
    </row>
    <row r="2" spans="2:40" ht="27.75" x14ac:dyDescent="0.25">
      <c r="E2" s="28"/>
      <c r="X2" s="27" t="str">
        <f>VLOOKUP("SIDING",Sprachindex!$A:$W,$Z$7,FALSE)</f>
        <v>SIDING</v>
      </c>
    </row>
    <row r="3" spans="2:40" ht="15" customHeight="1" x14ac:dyDescent="0.25">
      <c r="AC3" s="1" t="str">
        <f>IF(AND(Z18=0,Z12&gt;0),"Bitte Schattenfuge wählen","")</f>
        <v/>
      </c>
    </row>
    <row r="4" spans="2:40" ht="17.25" customHeight="1" x14ac:dyDescent="0.25">
      <c r="T4" s="83" t="str">
        <f>VLOOKUP("RETOURNIERUNG PER FAX:",Sprachindex!$A:$W,$Z$7,FALSE)</f>
        <v>À RENVOYER PAR FAX :</v>
      </c>
      <c r="U4" s="159"/>
      <c r="V4" s="160"/>
      <c r="W4" s="160"/>
      <c r="X4" s="161"/>
    </row>
    <row r="5" spans="2:40" ht="17.25" customHeight="1" x14ac:dyDescent="0.25">
      <c r="T5" s="83" t="str">
        <f>VLOOKUP("ODER EMAIL:",Sprachindex!$A:$W,$Z$7,FALSE)</f>
        <v>OU PAR COURRIEL :</v>
      </c>
      <c r="U5" s="159"/>
      <c r="V5" s="160"/>
      <c r="W5" s="160"/>
      <c r="X5" s="161"/>
      <c r="AD5" s="1">
        <v>1</v>
      </c>
    </row>
    <row r="6" spans="2:40" ht="17.25" customHeight="1" x14ac:dyDescent="0.25">
      <c r="Q6" s="82">
        <v>3</v>
      </c>
      <c r="T6" s="83" t="str">
        <f>VLOOKUP("Datum:",Sprachindex!$A:$W,$Z$7,FALSE)</f>
        <v>Date :</v>
      </c>
      <c r="U6" s="159"/>
      <c r="V6" s="160"/>
      <c r="W6" s="160"/>
      <c r="X6" s="161"/>
      <c r="AD6" s="1">
        <v>2</v>
      </c>
      <c r="AM6" s="1">
        <v>1</v>
      </c>
      <c r="AN6" s="1">
        <v>8</v>
      </c>
    </row>
    <row r="7" spans="2:40" ht="17.25" customHeight="1" x14ac:dyDescent="0.25">
      <c r="B7" s="77" t="str">
        <f>VLOOKUP("Firma / Besteller:",Sprachindex!$A:$W,$Z$7,FALSE)</f>
        <v>Entreprise / Acheteur :</v>
      </c>
      <c r="M7" s="21">
        <v>1</v>
      </c>
      <c r="Q7" s="82"/>
      <c r="Z7" s="68">
        <v>3</v>
      </c>
      <c r="AA7" s="1" t="s">
        <v>225</v>
      </c>
      <c r="AD7" s="1">
        <v>3</v>
      </c>
      <c r="AF7" s="1" t="s">
        <v>224</v>
      </c>
    </row>
    <row r="8" spans="2:40" ht="15" customHeight="1" x14ac:dyDescent="0.25">
      <c r="C8" s="72" t="str">
        <f>VLOOKUP("Name:",Sprachindex!$A:$W,$Z$7,FALSE)</f>
        <v>Nom :</v>
      </c>
      <c r="D8" s="159"/>
      <c r="E8" s="160"/>
      <c r="F8" s="160"/>
      <c r="G8" s="160"/>
      <c r="H8" s="161"/>
      <c r="J8" s="74" t="str">
        <f>VLOOKUP("Service:",Sprachindex!$A:$W,$Z$7,FALSE)</f>
        <v>Service :</v>
      </c>
      <c r="K8" s="63"/>
      <c r="L8" s="63"/>
      <c r="M8" s="63"/>
      <c r="N8" s="63"/>
      <c r="O8" s="63"/>
      <c r="P8" s="63"/>
      <c r="Q8" s="63"/>
      <c r="R8" s="63"/>
      <c r="S8" s="63"/>
      <c r="T8" s="2"/>
      <c r="U8" s="192" t="str">
        <f>VLOOKUP("Sprache",Sprachindex!$A:$W,$Z$7,FALSE)</f>
        <v>Langue</v>
      </c>
      <c r="V8" s="193"/>
      <c r="W8" s="194"/>
      <c r="Z8" s="68">
        <v>0</v>
      </c>
      <c r="AA8" s="1" t="s">
        <v>223</v>
      </c>
      <c r="AD8" s="1">
        <v>4</v>
      </c>
      <c r="AF8" s="81">
        <f>IF(AND(Z10&lt;4,OR(AND(ISNUMBER(E56),ISNUMBER(K56)),AND(ISNUMBER(E56),ISNUMBER(Q56)),AND(ISNUMBER(E56),ISNUMBER(W56)),AND(ISNUMBER(K56),ISNUMBER(Q56)),AND(ISNUMBER(K56),ISNUMBER(W56)))),1,0)</f>
        <v>0</v>
      </c>
    </row>
    <row r="9" spans="2:40" ht="15" customHeight="1" x14ac:dyDescent="0.25">
      <c r="C9" s="72" t="str">
        <f>VLOOKUP("Plz + Ort:",Sprachindex!$A:$W,$Z$7,FALSE)</f>
        <v>Code postal + ville :</v>
      </c>
      <c r="D9" s="159"/>
      <c r="E9" s="160"/>
      <c r="F9" s="160"/>
      <c r="G9" s="160"/>
      <c r="H9" s="161"/>
      <c r="J9" s="63"/>
      <c r="K9" s="63"/>
      <c r="L9" s="80" t="str">
        <f>VLOOKUP("Mengenermittlung/Anfrage",Sprachindex!$A:$W,$Z$7,FALSE)</f>
        <v>Question / Quantités requises</v>
      </c>
      <c r="M9" s="70"/>
      <c r="N9" s="63"/>
      <c r="O9" s="70"/>
      <c r="P9" s="63"/>
      <c r="Q9" s="61"/>
      <c r="R9" s="63" t="str">
        <f>VLOOKUP("Bestellung",Sprachindex!$A:$W,$Z$7,FALSE)</f>
        <v>Commande</v>
      </c>
      <c r="S9" s="63"/>
      <c r="T9" s="2"/>
      <c r="U9" s="78"/>
      <c r="V9" s="186" t="s">
        <v>222</v>
      </c>
      <c r="W9" s="187"/>
      <c r="AD9" s="1">
        <v>5</v>
      </c>
    </row>
    <row r="10" spans="2:40" ht="15" customHeight="1" x14ac:dyDescent="0.25">
      <c r="C10" s="72"/>
      <c r="D10" s="162"/>
      <c r="E10" s="162"/>
      <c r="F10" s="162"/>
      <c r="G10" s="162"/>
      <c r="H10" s="162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2"/>
      <c r="U10" s="78"/>
      <c r="V10" s="186" t="s">
        <v>221</v>
      </c>
      <c r="W10" s="187"/>
      <c r="Z10" s="68">
        <v>1</v>
      </c>
      <c r="AA10" s="1" t="s">
        <v>220</v>
      </c>
      <c r="AD10" s="1">
        <v>6</v>
      </c>
    </row>
    <row r="11" spans="2:40" ht="15" customHeight="1" x14ac:dyDescent="0.25">
      <c r="C11" s="72" t="str">
        <f>VLOOKUP("Bauvorhaben:",Sprachindex!$A:$W,$Z$7,FALSE)</f>
        <v>Projet:</v>
      </c>
      <c r="D11" s="159"/>
      <c r="E11" s="160"/>
      <c r="F11" s="160"/>
      <c r="G11" s="160"/>
      <c r="H11" s="161"/>
      <c r="J11" s="73" t="str">
        <f>VLOOKUP("Oberfläche:",Sprachindex!$A:$W,$Z$7,FALSE)</f>
        <v>Surface :</v>
      </c>
      <c r="K11" s="63"/>
      <c r="L11" s="63"/>
      <c r="M11" s="63"/>
      <c r="N11" s="63"/>
      <c r="O11" s="63"/>
      <c r="P11" s="63"/>
      <c r="Q11" s="63"/>
      <c r="R11" s="63"/>
      <c r="S11" s="63"/>
      <c r="T11" s="2"/>
      <c r="U11" s="78"/>
      <c r="V11" s="186" t="s">
        <v>219</v>
      </c>
      <c r="W11" s="187"/>
      <c r="AD11" s="1">
        <v>7</v>
      </c>
    </row>
    <row r="12" spans="2:40" ht="15" customHeight="1" x14ac:dyDescent="0.25">
      <c r="C12" s="72" t="str">
        <f>VLOOKUP("Ansprechpartner:",Sprachindex!$A:$W,$Z$7,FALSE)</f>
        <v>Interlocuteur :</v>
      </c>
      <c r="D12" s="181"/>
      <c r="E12" s="182"/>
      <c r="F12" s="182"/>
      <c r="G12" s="182"/>
      <c r="H12" s="183"/>
      <c r="J12" s="63"/>
      <c r="K12" s="63"/>
      <c r="L12" s="80" t="str">
        <f>VLOOKUP("glatt",Sprachindex!$A:$W,$Z$7,FALSE)</f>
        <v>lisse</v>
      </c>
      <c r="M12" s="79">
        <v>1</v>
      </c>
      <c r="N12" s="63" t="str">
        <f>VLOOKUP("stucco",Sprachindex!$A:$W,$Z$7,FALSE)</f>
        <v>stucco</v>
      </c>
      <c r="O12" s="70"/>
      <c r="P12" s="63" t="str">
        <f>VLOOKUP("liniert",Sprachindex!$A:$W,$Z$7,FALSE)</f>
        <v>ligné</v>
      </c>
      <c r="Q12" s="61">
        <v>1</v>
      </c>
      <c r="R12" s="63" t="str">
        <f>VLOOKUP("Siding.X",Sprachindex!$A:$W,$Z$7,FALSE)</f>
        <v>Siding.X</v>
      </c>
      <c r="S12" s="63"/>
      <c r="T12" s="2"/>
      <c r="U12" s="78"/>
      <c r="V12" s="177" t="s">
        <v>218</v>
      </c>
      <c r="W12" s="178"/>
      <c r="Z12" s="68">
        <v>2</v>
      </c>
      <c r="AA12" s="1" t="s">
        <v>217</v>
      </c>
      <c r="AD12" s="1">
        <v>8</v>
      </c>
    </row>
    <row r="13" spans="2:40" ht="15" customHeight="1" x14ac:dyDescent="0.25">
      <c r="C13" s="76"/>
      <c r="D13" s="162"/>
      <c r="E13" s="162"/>
      <c r="F13" s="162"/>
      <c r="G13" s="162"/>
      <c r="H13" s="162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2"/>
      <c r="U13" s="69"/>
      <c r="V13" s="186" t="s">
        <v>216</v>
      </c>
      <c r="W13" s="187"/>
      <c r="AD13" s="1">
        <v>9</v>
      </c>
    </row>
    <row r="14" spans="2:40" ht="15" customHeight="1" x14ac:dyDescent="0.25">
      <c r="B14" s="77" t="str">
        <f>VLOOKUP("Lieferadresse:",Sprachindex!$A:$W,$Z$7,FALSE)</f>
        <v>Adresse de livraison :</v>
      </c>
      <c r="C14" s="76"/>
      <c r="D14" s="75"/>
      <c r="E14" s="75"/>
      <c r="F14" s="75"/>
      <c r="G14" s="75"/>
      <c r="H14" s="75"/>
      <c r="J14" s="73" t="str">
        <f>VLOOKUP("Fuge:",Sprachindex!$A:$W,$Z$7,FALSE)</f>
        <v>Jointure :</v>
      </c>
      <c r="K14" s="63"/>
      <c r="L14" s="70" t="str">
        <f>VLOOKUP("ja",Sprachindex!$A:$W,$Z$7,FALSE)</f>
        <v>oui</v>
      </c>
      <c r="M14" s="70" t="str">
        <f>VLOOKUP("nein",Sprachindex!A:W,$Z$7,FALSE)</f>
        <v>non</v>
      </c>
      <c r="O14" s="188" t="str">
        <f>IF(AND(Z12=1,OR(Z15=2,Z18=2)),VLOOKUP("Nur mit Endabkantung und Schattenfuge möglich",Sprachindex!$A:$W,$Z$7,FALSE),IF(AND(Z18=0,Z12&gt;0),VLOOKUP("Bitte zuerst Ausführung der Schattenfuge auswählen",Sprachindex!$A:$W,$Z$7,FALSE),""))</f>
        <v/>
      </c>
      <c r="P14" s="188"/>
      <c r="Q14" s="188"/>
      <c r="R14" s="188"/>
      <c r="S14" s="188"/>
      <c r="T14" s="2"/>
      <c r="U14" s="69"/>
      <c r="V14" s="186" t="s">
        <v>215</v>
      </c>
      <c r="W14" s="187"/>
      <c r="AD14" s="1">
        <v>10</v>
      </c>
    </row>
    <row r="15" spans="2:40" ht="15" customHeight="1" x14ac:dyDescent="0.25">
      <c r="C15" s="72" t="str">
        <f>VLOOKUP("Plz + Ort:",Sprachindex!$A:$W,$Z$7,FALSE)</f>
        <v>Code postal + ville :</v>
      </c>
      <c r="D15" s="159"/>
      <c r="E15" s="160"/>
      <c r="F15" s="160"/>
      <c r="G15" s="160"/>
      <c r="H15" s="161"/>
      <c r="J15" s="74" t="str">
        <f>VLOOKUP("Endabkantung:",Sprachindex!$A:$W,$Z$7,FALSE)</f>
        <v>Pliure de rebord :</v>
      </c>
      <c r="K15" s="63"/>
      <c r="L15" s="70" t="str">
        <f>IF(AND(Z12=1,Z15=2),"-",VLOOKUP("ja",Sprachindex!$A:$W,$Z$7,FALSE))</f>
        <v>oui</v>
      </c>
      <c r="M15" s="70" t="str">
        <f>IF(AND(Z12=1,Z15=2),VLOOKUP("ja",Sprachindex!$A:$W,$Z$7,FALSE),VLOOKUP("nein",Sprachindex!A:W,$Z$7,FALSE))</f>
        <v>non</v>
      </c>
      <c r="N15" s="72"/>
      <c r="O15" s="188"/>
      <c r="P15" s="188"/>
      <c r="Q15" s="188"/>
      <c r="R15" s="188"/>
      <c r="S15" s="188"/>
      <c r="T15" s="2"/>
      <c r="U15" s="69"/>
      <c r="V15" s="186" t="s">
        <v>214</v>
      </c>
      <c r="W15" s="187"/>
      <c r="Z15" s="68">
        <v>0</v>
      </c>
      <c r="AA15" s="1" t="s">
        <v>213</v>
      </c>
      <c r="AD15" s="1">
        <v>11</v>
      </c>
    </row>
    <row r="16" spans="2:40" ht="15" customHeight="1" x14ac:dyDescent="0.25">
      <c r="C16" s="72" t="str">
        <f>VLOOKUP("Straße:",Sprachindex!$A:$W,$Z$7,FALSE)</f>
        <v>Adresse :</v>
      </c>
      <c r="D16" s="159"/>
      <c r="E16" s="160"/>
      <c r="F16" s="160"/>
      <c r="G16" s="160"/>
      <c r="H16" s="161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2"/>
      <c r="U16" s="69"/>
      <c r="V16" s="177" t="s">
        <v>212</v>
      </c>
      <c r="W16" s="178"/>
      <c r="AD16" s="1">
        <v>12</v>
      </c>
    </row>
    <row r="17" spans="1:40" ht="15" customHeight="1" x14ac:dyDescent="0.25">
      <c r="C17" s="72" t="str">
        <f>VLOOKUP("Ansprechpartner:",Sprachindex!$A:$W,$Z$7,FALSE)</f>
        <v>Interlocuteur :</v>
      </c>
      <c r="D17" s="159"/>
      <c r="E17" s="160"/>
      <c r="F17" s="160"/>
      <c r="G17" s="160"/>
      <c r="H17" s="161"/>
      <c r="J17" s="73" t="str">
        <f>VLOOKUP("Schattenfuge:",Sprachindex!$A:$W,$Z$7,FALSE)</f>
        <v>joint creux :</v>
      </c>
      <c r="K17" s="63"/>
      <c r="L17" s="63"/>
      <c r="M17" s="63"/>
      <c r="N17" s="63"/>
      <c r="O17" s="63"/>
      <c r="P17" s="63"/>
      <c r="Q17" s="63"/>
      <c r="R17" s="63"/>
      <c r="S17" s="63"/>
      <c r="U17" s="69"/>
      <c r="V17" s="177" t="s">
        <v>211</v>
      </c>
      <c r="W17" s="178"/>
      <c r="AD17" s="1">
        <v>13</v>
      </c>
    </row>
    <row r="18" spans="1:40" ht="15" customHeight="1" x14ac:dyDescent="0.25">
      <c r="C18" s="72" t="str">
        <f>VLOOKUP("Telefon:",Sprachindex!$A:$W,$Z$7,FALSE)</f>
        <v>Téléphone :</v>
      </c>
      <c r="D18" s="159"/>
      <c r="E18" s="160"/>
      <c r="F18" s="160"/>
      <c r="G18" s="160"/>
      <c r="H18" s="161"/>
      <c r="J18" s="63"/>
      <c r="K18" s="63"/>
      <c r="L18" s="63"/>
      <c r="M18" s="63"/>
      <c r="N18" s="72" t="str">
        <f>VLOOKUP("Schattenfuge 15 mm breit, 7 mm tief:",Sprachindex!$A:$W,$Z$7,FALSE)</f>
        <v>joint creux de 15 mm (larg.) sur 7 mm (prof.) :</v>
      </c>
      <c r="O18" s="63"/>
      <c r="P18" s="70" t="str">
        <f>IF(AND(Z12=1,Z18=2),"-",VLOOKUP("ja",Sprachindex!$A:$W,$Z$7,FALSE))</f>
        <v>oui</v>
      </c>
      <c r="Q18" s="70"/>
      <c r="R18" s="70" t="str">
        <f>IF(AND(Z12=1,Z18=2),VLOOKUP("ja",Sprachindex!$A:$W,$Z$7,FALSE),VLOOKUP("nein",Sprachindex!A:W,$Z$7,FALSE))</f>
        <v>non</v>
      </c>
      <c r="S18" s="63"/>
      <c r="T18" s="2"/>
      <c r="U18" s="69"/>
      <c r="V18" s="184" t="s">
        <v>210</v>
      </c>
      <c r="W18" s="185"/>
      <c r="Z18" s="68">
        <v>2</v>
      </c>
      <c r="AA18" s="1" t="s">
        <v>209</v>
      </c>
    </row>
    <row r="19" spans="1:40" ht="15" customHeight="1" x14ac:dyDescent="0.25">
      <c r="U19" s="69"/>
      <c r="V19" s="177" t="s">
        <v>208</v>
      </c>
      <c r="W19" s="178"/>
    </row>
    <row r="20" spans="1:40" ht="15" customHeight="1" x14ac:dyDescent="0.25">
      <c r="B20" s="71" t="str">
        <f>VLOOKUP("Farbe:",Sprachindex!$A:$W,$Z$7,FALSE)</f>
        <v>Couleur :</v>
      </c>
      <c r="E20" s="70" t="str">
        <f>VLOOKUP("05 P.10 oxydrot",Sprachindex!$A:$W,$Z$7,FALSE)</f>
        <v>05 P.10 rouge oxyde</v>
      </c>
      <c r="F20" s="63"/>
      <c r="G20" s="63"/>
      <c r="H20" s="70" t="str">
        <f>VLOOKUP("12 silbermetallic",Sprachindex!$A:$W,$Z$7,FALSE)</f>
        <v>12 argent métallisé</v>
      </c>
      <c r="I20" s="61"/>
      <c r="J20" s="63"/>
      <c r="K20" s="63" t="str">
        <f>VLOOKUP("38 Walnuss braun",Sprachindex!$A:$W,$Z$7,FALSE)</f>
        <v>38 Noyer Foncé</v>
      </c>
      <c r="L20" s="64"/>
      <c r="M20" s="63"/>
      <c r="N20" s="70" t="str">
        <f>VLOOKUP("45 bronze",Sprachindex!$A:$W,$Z$7,FALSE)</f>
        <v>45 bronze</v>
      </c>
      <c r="O20" s="63"/>
      <c r="P20" s="63"/>
      <c r="R20" s="63"/>
      <c r="S20" s="63"/>
      <c r="U20" s="69"/>
      <c r="V20" s="177" t="s">
        <v>207</v>
      </c>
      <c r="W20" s="178"/>
      <c r="Z20" s="68">
        <v>0</v>
      </c>
      <c r="AA20" s="1" t="s">
        <v>206</v>
      </c>
    </row>
    <row r="21" spans="1:40" ht="15" customHeight="1" x14ac:dyDescent="0.25">
      <c r="B21" s="65" t="str">
        <f>VLOOKUP("01 P.10 braun",Sprachindex!$A:$W,$Z$7,FALSE)</f>
        <v>01 P.10 brun</v>
      </c>
      <c r="C21" s="63"/>
      <c r="D21" s="63"/>
      <c r="E21" s="63" t="str">
        <f>VLOOKUP("06 P.10 moosgrün",Sprachindex!$A:$W,$Z$7,FALSE)</f>
        <v>06 P.10 vert mousse</v>
      </c>
      <c r="F21" s="63"/>
      <c r="G21" s="63"/>
      <c r="H21" s="64" t="str">
        <f>VLOOKUP("17 P.10 reinweiß",Sprachindex!$A:$W,$Z$7,FALSE)</f>
        <v>17 P.10 blanc pur</v>
      </c>
      <c r="I21" s="61"/>
      <c r="J21" s="63"/>
      <c r="K21" s="63" t="str">
        <f>VLOOKUP("39 Eiche beige-grau",Sprachindex!$A:$W,$Z$7,FALSE)</f>
        <v>39 Chêne Gris</v>
      </c>
      <c r="L21" s="63"/>
      <c r="M21" s="63"/>
      <c r="N21" s="64" t="str">
        <f>VLOOKUP("47 patina grau",Sprachindex!$A:$W,$Z$7,FALSE)</f>
        <v>47 gris quartz</v>
      </c>
      <c r="O21" s="63"/>
      <c r="R21" s="63"/>
      <c r="S21" s="63"/>
      <c r="U21" s="67"/>
      <c r="V21" s="189" t="s">
        <v>205</v>
      </c>
      <c r="W21" s="190"/>
      <c r="X21" s="1"/>
      <c r="AD21" s="1" t="e">
        <f>VLOOKUP("keines",Sprachindex!$A:$W,$Z$7,FALSE)</f>
        <v>#N/A</v>
      </c>
    </row>
    <row r="22" spans="1:40" ht="15" customHeight="1" x14ac:dyDescent="0.25">
      <c r="B22" s="65" t="str">
        <f>VLOOKUP("02 P.10 anthrazit",Sprachindex!$A:$W,$Z$7,FALSE)</f>
        <v>02 P.10 anthracite</v>
      </c>
      <c r="C22" s="63"/>
      <c r="D22" s="63"/>
      <c r="E22" s="64" t="str">
        <f>VLOOKUP("07 P.10 hellgrau",Sprachindex!$A:$W,$Z$7,FALSE)</f>
        <v>07 P.10 gris souris</v>
      </c>
      <c r="F22" s="63"/>
      <c r="G22" s="63"/>
      <c r="H22" s="64" t="str">
        <f>VLOOKUP("19 P.10 dunkelgrau",Sprachindex!$A:$W,$Z$7,FALSE)</f>
        <v>19 P.10 gris sombre</v>
      </c>
      <c r="I22" s="61"/>
      <c r="J22" s="63"/>
      <c r="K22" s="63" t="str">
        <f>VLOOKUP("40 Eiche natur",Sprachindex!$A:$W,$Z$7,FALSE)</f>
        <v>40 Chêne Naturel</v>
      </c>
      <c r="L22" s="63"/>
      <c r="M22" s="63"/>
      <c r="O22" s="61"/>
      <c r="R22" s="63"/>
      <c r="S22" s="63"/>
      <c r="U22" s="66"/>
      <c r="V22" s="206" t="s">
        <v>204</v>
      </c>
      <c r="W22" s="207"/>
      <c r="X22" s="1"/>
    </row>
    <row r="23" spans="1:40" ht="15" customHeight="1" x14ac:dyDescent="0.25">
      <c r="B23" s="65" t="str">
        <f>VLOOKUP("03 P.10 schwarz",Sprachindex!$A:$W,$Z$7,FALSE)</f>
        <v>03 P.10 noir</v>
      </c>
      <c r="C23" s="63"/>
      <c r="D23" s="63"/>
      <c r="E23" s="64" t="str">
        <f>VLOOKUP("10 P.10 prefaweiß",Sprachindex!$A:$W,$Z$7,FALSE)</f>
        <v>10 P.10 blanc prefa</v>
      </c>
      <c r="F23" s="63"/>
      <c r="G23" s="63"/>
      <c r="H23" s="64" t="str">
        <f>VLOOKUP("20 rauchsilber",Sprachindex!$A:$W,$Z$7,FALSE)</f>
        <v>20 argent fumé</v>
      </c>
      <c r="I23" s="62"/>
      <c r="J23" s="63"/>
      <c r="K23" s="63" t="str">
        <f>VLOOKUP("42 P.10 sandbraun",Sprachindex!$A:$W,$Z$7,FALSE)</f>
        <v>42 P.10 brun sable</v>
      </c>
      <c r="L23" s="63"/>
      <c r="M23" s="63"/>
      <c r="N23" s="64" t="str">
        <f>VLOOKUP("Standardfarbe",Sprachindex!$A:$W,$Z$7,FALSE)</f>
        <v>couleur standard</v>
      </c>
      <c r="O23" s="61"/>
      <c r="R23" s="63"/>
      <c r="S23" s="63"/>
      <c r="U23" s="1" t="str">
        <f>VLOOKUP("Verlegeschema",Sprachindex!$A:$W,$Z$7,FALSE) &amp; ":"</f>
        <v>plan:</v>
      </c>
      <c r="X23" s="1"/>
    </row>
    <row r="24" spans="1:40" ht="15" customHeight="1" x14ac:dyDescent="0.25">
      <c r="B24" s="65" t="str">
        <f>VLOOKUP("04 P.10 ziegelrot",Sprachindex!$A:$W,$Z$7,FALSE)</f>
        <v>04 P.10 rouge tuile</v>
      </c>
      <c r="C24" s="63"/>
      <c r="D24" s="63"/>
      <c r="E24" s="63" t="str">
        <f>VLOOKUP("11 P.10 nussbraun",Sprachindex!$A:$W,$Z$7,FALSE)</f>
        <v>11 P.10 brun noisette</v>
      </c>
      <c r="F24" s="63"/>
      <c r="G24" s="63"/>
      <c r="H24" s="63" t="str">
        <f>VLOOKUP("23 schwarzgrau",Sprachindex!$A:$W,$Z$7,FALSE)</f>
        <v>23 gris noir</v>
      </c>
      <c r="I24" s="61"/>
      <c r="J24" s="63"/>
      <c r="K24" s="64" t="str">
        <f>VLOOKUP("43 P.10 steingrau",Sprachindex!$A:$W,$Z$7,FALSE)</f>
        <v>43 P.10 gris pierre</v>
      </c>
      <c r="L24" s="63"/>
      <c r="O24" s="62"/>
      <c r="P24" s="61"/>
      <c r="Q24" s="61"/>
      <c r="R24" s="61"/>
      <c r="S24" s="61"/>
      <c r="T24" s="59"/>
      <c r="U24" s="60"/>
      <c r="V24" s="59"/>
      <c r="W24" s="59"/>
      <c r="X24" s="58"/>
    </row>
    <row r="25" spans="1:40" ht="5.0999999999999996" customHeight="1" x14ac:dyDescent="0.25">
      <c r="B25" s="57"/>
      <c r="C25" s="33"/>
      <c r="D25" s="33"/>
      <c r="E25" s="33"/>
      <c r="F25" s="33"/>
      <c r="G25" s="33"/>
      <c r="H25" s="33"/>
      <c r="U25" s="56"/>
      <c r="V25" s="56"/>
    </row>
    <row r="26" spans="1:40" ht="15" customHeight="1" x14ac:dyDescent="0.25">
      <c r="A26" s="135" t="str">
        <f>VLOOKUP("Hinweis: Kombination von unterschiedlichen Baubreiten muss in der Materialstärke der größeren Baubreite ausgeführt werden.",Sprachindex!$A:$W,$Z$7,FALSE)</f>
        <v>Remarque : Lorsque l’on combine différentes largeurs utiles, l’épaisseur du matériau doit correspondre à celle de la plus grande largeur utile.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</row>
    <row r="27" spans="1:40" ht="5.0999999999999996" customHeight="1" x14ac:dyDescent="0.25">
      <c r="B27" s="57"/>
      <c r="C27" s="33"/>
      <c r="D27" s="33"/>
      <c r="E27" s="33"/>
      <c r="F27" s="33"/>
      <c r="G27" s="33"/>
      <c r="H27" s="33"/>
      <c r="U27" s="56"/>
      <c r="V27" s="56"/>
    </row>
    <row r="28" spans="1:40" ht="18.75" x14ac:dyDescent="0.25">
      <c r="B28" s="138" t="str">
        <f>IF(Z10=0,VLOOKUP("Stückliste Siding",Sprachindex!$A:$W,$Z$7,FALSE),VLOOKUP("Stückliste Siding",Sprachindex!$A:$W,$Z$7,FALSE))</f>
        <v>Nomemclature – siding</v>
      </c>
      <c r="C28" s="139"/>
      <c r="D28" s="139"/>
      <c r="E28" s="133" t="str">
        <f>IF(Z10=0,VLOOKUP("138mm",Sprachindex!$A:$W,$Z$7,FALSE),IF(Z10=4,VLOOKUP("138 x 1,0 mm",Sprachindex!$A:$W,$Z$7,FALSE),VLOOKUP("138 x 0,7 mm",Sprachindex!$A:$W,$Z$7,FALSE)))</f>
        <v>138 × 0,7 mm</v>
      </c>
      <c r="F28" s="134"/>
      <c r="G28" s="33"/>
      <c r="H28" s="138" t="str">
        <f>IF(Z10=0,VLOOKUP("Stückliste Siding",Sprachindex!$A:$W,$Z$7,FALSE),VLOOKUP("Stückliste Siding",Sprachindex!$A:$W,$Z$7,FALSE))</f>
        <v>Nomemclature – siding</v>
      </c>
      <c r="I28" s="139"/>
      <c r="J28" s="139"/>
      <c r="K28" s="133" t="str">
        <f>IF(Z10=0,VLOOKUP("200mm",Sprachindex!$A:$W,$Z$7,FALSE),VLOOKUP("200 x 1,0 mm",Sprachindex!$A:$W,$Z$7,FALSE))</f>
        <v>200 × 1,0 mm</v>
      </c>
      <c r="L28" s="134"/>
      <c r="N28" s="138" t="str">
        <f>IF(Z10=0,VLOOKUP("Stückliste Siding",Sprachindex!$A:$W,$Z$7,FALSE),IF(Z10=4,VLOOKUP("Stückliste Siding",Sprachindex!$A:$W,$Z$7,FALSE),VLOOKUP("Stückliste Siding",Sprachindex!$A:$W,$Z$7,FALSE)))</f>
        <v>Nomemclature – siding</v>
      </c>
      <c r="O28" s="139"/>
      <c r="P28" s="139"/>
      <c r="Q28" s="133" t="str">
        <f>IF(Z10=0,VLOOKUP("300mm",Sprachindex!$A:$W,$Z$7,FALSE),IF(Z10=4,VLOOKUP("300 x 1,0 mm",Sprachindex!$A:$W,$Z$7,FALSE),VLOOKUP("300 x 1,2 mm",Sprachindex!$A:$W,$Z$7,FALSE)))</f>
        <v>300 × 1,2 mm</v>
      </c>
      <c r="R28" s="134"/>
      <c r="T28" s="138" t="str">
        <f>IF(Z10=0,VLOOKUP("Stückliste Siding",Sprachindex!$A:$W,$Z$7,FALSE),IF(Z10=4,VLOOKUP("Stückliste Siding",Sprachindex!$A:$W,$Z$7,FALSE),VLOOKUP("Stückliste Siding",Sprachindex!$A:$W,$Z$7,FALSE)))</f>
        <v>Nomemclature – siding</v>
      </c>
      <c r="U28" s="139"/>
      <c r="V28" s="139"/>
      <c r="W28" s="133" t="str">
        <f>IF(Z10=0,VLOOKUP("400mm",Sprachindex!$A:$W,$Z$7,FALSE),IF(Z10=4,VLOOKUP("400 x 1,0 mm",Sprachindex!$A:$W,$Z$7,FALSE),VLOOKUP("400 x 1,2 mm",Sprachindex!$A:$W,$Z$7,FALSE)))</f>
        <v>400 × 1,2 mm</v>
      </c>
      <c r="X28" s="134"/>
    </row>
    <row r="29" spans="1:40" ht="14.1" customHeight="1" x14ac:dyDescent="0.25">
      <c r="B29" s="136" t="str">
        <f>VLOOKUP("Pos",Sprachindex!$A:$W,$Z$7,FALSE)</f>
        <v>N°</v>
      </c>
      <c r="C29" s="197" t="str">
        <f>VLOOKUP("Stk",Sprachindex!$A:$W,$Z$7,FALSE)</f>
        <v>pc.</v>
      </c>
      <c r="D29" s="55" t="str">
        <f>VLOOKUP("Länge",Sprachindex!$A:$W,$Z$7,FALSE)</f>
        <v>Longueur</v>
      </c>
      <c r="E29" s="129" t="str">
        <f>VLOOKUP("m²",Sprachindex!$A:$W,$Z$7,FALSE)</f>
        <v>m²</v>
      </c>
      <c r="F29" s="130"/>
      <c r="G29" s="33"/>
      <c r="H29" s="136" t="str">
        <f>VLOOKUP("Pos",Sprachindex!$A:$W,$Z$7,FALSE)</f>
        <v>N°</v>
      </c>
      <c r="I29" s="197" t="str">
        <f>VLOOKUP("Stk",Sprachindex!$A:$W,$Z$7,FALSE)</f>
        <v>pc.</v>
      </c>
      <c r="J29" s="55" t="str">
        <f>VLOOKUP("Länge",Sprachindex!$A:$W,$Z$7,FALSE)</f>
        <v>Longueur</v>
      </c>
      <c r="K29" s="129" t="s">
        <v>203</v>
      </c>
      <c r="L29" s="130"/>
      <c r="N29" s="136" t="str">
        <f>VLOOKUP("Pos",Sprachindex!$A:$W,$Z$7,FALSE)</f>
        <v>N°</v>
      </c>
      <c r="O29" s="197" t="str">
        <f>VLOOKUP("Stk",Sprachindex!$A:$W,$Z$7,FALSE)</f>
        <v>pc.</v>
      </c>
      <c r="P29" s="55" t="str">
        <f>VLOOKUP("Länge",Sprachindex!$A:$W,$Z$7,FALSE)</f>
        <v>Longueur</v>
      </c>
      <c r="Q29" s="129" t="str">
        <f>VLOOKUP("m²",Sprachindex!$A:$W,$Z$7,FALSE)</f>
        <v>m²</v>
      </c>
      <c r="R29" s="130"/>
      <c r="T29" s="136" t="str">
        <f>VLOOKUP("Pos",Sprachindex!$A:$W,$Z$7,FALSE)</f>
        <v>N°</v>
      </c>
      <c r="U29" s="197" t="str">
        <f>VLOOKUP("Stk",Sprachindex!$A:$W,$Z$7,FALSE)</f>
        <v>pc.</v>
      </c>
      <c r="V29" s="55" t="str">
        <f>VLOOKUP("Länge",Sprachindex!$A:$W,$Z$7,FALSE)</f>
        <v>Longueur</v>
      </c>
      <c r="W29" s="129" t="str">
        <f>VLOOKUP("m²",Sprachindex!$A:$W,$Z$7,FALSE)</f>
        <v>m²</v>
      </c>
      <c r="X29" s="130"/>
      <c r="AM29" s="1" t="s">
        <v>202</v>
      </c>
    </row>
    <row r="30" spans="1:40" ht="14.1" customHeight="1" x14ac:dyDescent="0.2">
      <c r="B30" s="137"/>
      <c r="C30" s="198"/>
      <c r="D30" s="54" t="str">
        <f>VLOOKUP("[in mm]",Sprachindex!$A:$W,$Z$7,FALSE)</f>
        <v>[en mm]</v>
      </c>
      <c r="E30" s="131"/>
      <c r="F30" s="132"/>
      <c r="G30" s="33"/>
      <c r="H30" s="137"/>
      <c r="I30" s="198"/>
      <c r="J30" s="54" t="str">
        <f>VLOOKUP("[in mm]",Sprachindex!$A:$W,$Z$7,FALSE)</f>
        <v>[en mm]</v>
      </c>
      <c r="K30" s="131"/>
      <c r="L30" s="132"/>
      <c r="N30" s="137"/>
      <c r="O30" s="198"/>
      <c r="P30" s="54" t="str">
        <f>VLOOKUP("[in mm]",Sprachindex!$A:$W,$Z$7,FALSE)</f>
        <v>[en mm]</v>
      </c>
      <c r="Q30" s="131"/>
      <c r="R30" s="132"/>
      <c r="T30" s="137"/>
      <c r="U30" s="198"/>
      <c r="V30" s="54" t="str">
        <f>VLOOKUP("[in mm]",Sprachindex!$A:$W,$Z$7,FALSE)</f>
        <v>[en mm]</v>
      </c>
      <c r="W30" s="131"/>
      <c r="X30" s="132"/>
      <c r="AD30" s="1" t="s">
        <v>191</v>
      </c>
      <c r="AE30" s="1" t="s">
        <v>200</v>
      </c>
      <c r="AF30" s="1" t="s">
        <v>199</v>
      </c>
      <c r="AG30" s="1" t="s">
        <v>201</v>
      </c>
      <c r="AM30" s="25" t="s">
        <v>200</v>
      </c>
      <c r="AN30" s="25" t="s">
        <v>199</v>
      </c>
    </row>
    <row r="31" spans="1:40" ht="14.1" customHeight="1" x14ac:dyDescent="0.25">
      <c r="B31" s="53"/>
      <c r="C31" s="52"/>
      <c r="D31" s="52"/>
      <c r="E31" s="195">
        <f>C31*D31*138/1000000</f>
        <v>0</v>
      </c>
      <c r="F31" s="196"/>
      <c r="G31" s="40"/>
      <c r="H31" s="51"/>
      <c r="I31" s="50"/>
      <c r="J31" s="50"/>
      <c r="K31" s="179">
        <f t="shared" ref="K31:K55" si="0">I31*J31*200/1000000</f>
        <v>0</v>
      </c>
      <c r="L31" s="180"/>
      <c r="M31" s="49" t="str">
        <f>IF(Z38=1,VLOOKUP("Keine Baubreiten mit",Sprachindex!$A:$W,$Z$7,FALSE),"")</f>
        <v/>
      </c>
      <c r="N31" s="51"/>
      <c r="O31" s="50"/>
      <c r="P31" s="50"/>
      <c r="Q31" s="179">
        <f t="shared" ref="Q31:Q55" si="1">O31*P31*300/1000000</f>
        <v>0</v>
      </c>
      <c r="R31" s="180"/>
      <c r="S31" s="40"/>
      <c r="T31" s="51"/>
      <c r="U31" s="50"/>
      <c r="V31" s="50"/>
      <c r="W31" s="179">
        <f t="shared" ref="W31:W55" si="2">U31*V31*400/1000000</f>
        <v>0</v>
      </c>
      <c r="X31" s="180"/>
      <c r="Z31" s="48">
        <f>IF($Z$10=1,AD31,IF($Z$10=2,AE31,IF($Z$10=3,AF31,IF($Z$10=4,AG31,0))))</f>
        <v>0</v>
      </c>
      <c r="AA31" s="1" t="s">
        <v>198</v>
      </c>
      <c r="AD31" s="46">
        <f>IF(OR($Z$20=10,$Z$20=13,$Z$20=14,$Z$20=17,$Z$20=20),1,0)</f>
        <v>0</v>
      </c>
      <c r="AE31" s="46">
        <f>IF(OR($Z$20=13,$Z$20=14,$Z$20=15,$Z$20=16,$Z$20=17,$Z$20=20),1,0)</f>
        <v>0</v>
      </c>
      <c r="AF31" s="46">
        <f>IF(OR($Z$20=10,$Z$20=13,$Z$20=14,$Z$20=15,$Z$20=16,$Z$20=17,$Z$20=20),1,0)</f>
        <v>0</v>
      </c>
      <c r="AG31" s="46">
        <f>IF(OR($Z$20=15,$Z$20=16,$Z$20=17),1,0)</f>
        <v>0</v>
      </c>
      <c r="AH31" s="1" t="s">
        <v>197</v>
      </c>
      <c r="AI31" s="1" t="s">
        <v>196</v>
      </c>
      <c r="AM31" s="25">
        <v>15</v>
      </c>
      <c r="AN31" s="25">
        <v>15</v>
      </c>
    </row>
    <row r="32" spans="1:40" ht="14.1" customHeight="1" x14ac:dyDescent="0.25">
      <c r="B32" s="45"/>
      <c r="C32" s="44"/>
      <c r="D32" s="44"/>
      <c r="E32" s="125">
        <f t="shared" ref="E32" si="3">C32*D32*138/1000000</f>
        <v>0</v>
      </c>
      <c r="F32" s="126"/>
      <c r="G32" s="40"/>
      <c r="H32" s="45"/>
      <c r="I32" s="44"/>
      <c r="J32" s="44"/>
      <c r="K32" s="125">
        <f t="shared" si="0"/>
        <v>0</v>
      </c>
      <c r="L32" s="126"/>
      <c r="M32" s="49" t="str">
        <f>IF(Z38=1,VLOOKUP("dieser Kombination",Sprachindex!$A:$W,$Z$7,FALSE),"")</f>
        <v/>
      </c>
      <c r="N32" s="45"/>
      <c r="O32" s="44"/>
      <c r="P32" s="44"/>
      <c r="Q32" s="125">
        <f t="shared" si="1"/>
        <v>0</v>
      </c>
      <c r="R32" s="126"/>
      <c r="S32" s="40"/>
      <c r="T32" s="45"/>
      <c r="U32" s="44"/>
      <c r="V32" s="44"/>
      <c r="W32" s="125">
        <f t="shared" si="2"/>
        <v>0</v>
      </c>
      <c r="X32" s="126"/>
      <c r="Z32" s="48">
        <f>IF($Z$10=1,AD32,IF($Z$10=2,AE32,IF($Z$10=3,AF32,IF($Z$10=4,AG32,0))))</f>
        <v>0</v>
      </c>
      <c r="AA32" s="1" t="s">
        <v>195</v>
      </c>
      <c r="AD32" s="46"/>
      <c r="AE32" s="46">
        <f>IF(OR($Z$20=15,$Z$20=16,$Z$20=17),1,0)</f>
        <v>0</v>
      </c>
      <c r="AF32" s="46">
        <f>IF(OR($Z$20=15,$Z$20=16,$Z$20=17),1,0)</f>
        <v>0</v>
      </c>
      <c r="AG32" s="46">
        <f>IF(OR($Z$20=15,$Z$20=16,$Z$20=17),1,0)</f>
        <v>0</v>
      </c>
      <c r="AM32" s="25">
        <v>16</v>
      </c>
      <c r="AN32" s="25">
        <v>16</v>
      </c>
    </row>
    <row r="33" spans="2:40" ht="14.1" customHeight="1" x14ac:dyDescent="0.25">
      <c r="B33" s="45"/>
      <c r="C33" s="44"/>
      <c r="D33" s="44"/>
      <c r="E33" s="125">
        <f t="shared" ref="E33:E55" si="4">C33*D33*138/1000000</f>
        <v>0</v>
      </c>
      <c r="F33" s="126"/>
      <c r="G33" s="40"/>
      <c r="H33" s="45"/>
      <c r="I33" s="44"/>
      <c r="J33" s="44"/>
      <c r="K33" s="125">
        <f t="shared" si="0"/>
        <v>0</v>
      </c>
      <c r="L33" s="126"/>
      <c r="M33" s="49" t="str">
        <f>IF(Z38=1,VLOOKUP("aus Oberfläche und",Sprachindex!$A:$W,$Z$7,FALSE),"")</f>
        <v/>
      </c>
      <c r="N33" s="45"/>
      <c r="O33" s="44"/>
      <c r="P33" s="44"/>
      <c r="Q33" s="125">
        <f t="shared" si="1"/>
        <v>0</v>
      </c>
      <c r="R33" s="126"/>
      <c r="S33" s="40"/>
      <c r="T33" s="45"/>
      <c r="U33" s="44"/>
      <c r="V33" s="44"/>
      <c r="W33" s="125">
        <f t="shared" si="2"/>
        <v>0</v>
      </c>
      <c r="X33" s="126"/>
      <c r="Z33" s="48">
        <f>IF($Z$10=1,AD33,IF($Z$10=2,AE33,IF($Z$10=3,AF33,IF($Z$10=4,AG33,0))))</f>
        <v>0</v>
      </c>
      <c r="AA33" s="1" t="s">
        <v>194</v>
      </c>
      <c r="AD33" s="46">
        <f>IF(OR($Z$20=4,$Z$20=5,$Z$20=6,$Z$20=9,$Z$20=15,$Z$20=16,$Z$20=17,$Z$20=18,$Z$20=20,$Z$20=21),1,0)</f>
        <v>0</v>
      </c>
      <c r="AE33" s="47">
        <v>1</v>
      </c>
      <c r="AF33" s="47">
        <v>1</v>
      </c>
      <c r="AG33" s="46">
        <f>IF(OR($Z$20=15,$Z$20=16,$Z$20=17),1,0)</f>
        <v>0</v>
      </c>
      <c r="AM33" s="25">
        <v>17</v>
      </c>
      <c r="AN33" s="25">
        <v>17</v>
      </c>
    </row>
    <row r="34" spans="2:40" ht="14.1" customHeight="1" x14ac:dyDescent="0.25">
      <c r="B34" s="45"/>
      <c r="C34" s="44"/>
      <c r="D34" s="44"/>
      <c r="E34" s="125">
        <f t="shared" si="4"/>
        <v>0</v>
      </c>
      <c r="F34" s="126"/>
      <c r="G34" s="40"/>
      <c r="H34" s="45"/>
      <c r="I34" s="44"/>
      <c r="J34" s="44"/>
      <c r="K34" s="125">
        <f t="shared" si="0"/>
        <v>0</v>
      </c>
      <c r="L34" s="126"/>
      <c r="M34" s="49" t="str">
        <f>IF(Z38=1,VLOOKUP("Farbe möglich",Sprachindex!$A:$W,$Z$7,FALSE),"")</f>
        <v/>
      </c>
      <c r="N34" s="45"/>
      <c r="O34" s="44"/>
      <c r="P34" s="44"/>
      <c r="Q34" s="125">
        <f t="shared" si="1"/>
        <v>0</v>
      </c>
      <c r="R34" s="126"/>
      <c r="S34" s="40"/>
      <c r="T34" s="45"/>
      <c r="U34" s="44"/>
      <c r="V34" s="44"/>
      <c r="W34" s="125">
        <f t="shared" si="2"/>
        <v>0</v>
      </c>
      <c r="X34" s="126"/>
      <c r="Z34" s="48">
        <f>IF($Z$10=1,AD34,IF($Z$10=2,AE34,IF($Z$10=3,AF34,IF($Z$10=4,AG34,0))))</f>
        <v>0</v>
      </c>
      <c r="AA34" s="1" t="s">
        <v>193</v>
      </c>
      <c r="AD34" s="46">
        <f>IF(OR($Z$20=4,$Z$20=5,$Z$20=6,$Z$20=9,$Z$20=15,$Z$20=16,$Z$20=17,$Z$20=18,$Z$20=20,$Z$20=21),1,0)</f>
        <v>0</v>
      </c>
      <c r="AE34" s="47">
        <v>1</v>
      </c>
      <c r="AF34" s="47">
        <v>1</v>
      </c>
      <c r="AG34" s="46">
        <f>IF(OR($Z$20=15,$Z$20=16,$Z$20=17),1,0)</f>
        <v>0</v>
      </c>
    </row>
    <row r="35" spans="2:40" ht="14.1" customHeight="1" x14ac:dyDescent="0.25">
      <c r="B35" s="45"/>
      <c r="C35" s="44"/>
      <c r="D35" s="44"/>
      <c r="E35" s="125">
        <f t="shared" si="4"/>
        <v>0</v>
      </c>
      <c r="F35" s="126"/>
      <c r="G35" s="40"/>
      <c r="H35" s="45"/>
      <c r="I35" s="44"/>
      <c r="J35" s="44"/>
      <c r="K35" s="125">
        <f t="shared" si="0"/>
        <v>0</v>
      </c>
      <c r="L35" s="126"/>
      <c r="M35" s="40"/>
      <c r="N35" s="45"/>
      <c r="O35" s="44"/>
      <c r="P35" s="44"/>
      <c r="Q35" s="125">
        <f t="shared" si="1"/>
        <v>0</v>
      </c>
      <c r="R35" s="126"/>
      <c r="S35" s="40"/>
      <c r="T35" s="45"/>
      <c r="U35" s="44"/>
      <c r="V35" s="44"/>
      <c r="W35" s="125">
        <f t="shared" si="2"/>
        <v>0</v>
      </c>
      <c r="X35" s="126"/>
    </row>
    <row r="36" spans="2:40" ht="14.1" customHeight="1" x14ac:dyDescent="0.25">
      <c r="B36" s="45"/>
      <c r="C36" s="44"/>
      <c r="D36" s="44"/>
      <c r="E36" s="125">
        <f t="shared" si="4"/>
        <v>0</v>
      </c>
      <c r="F36" s="126"/>
      <c r="G36" s="41"/>
      <c r="H36" s="45"/>
      <c r="I36" s="44"/>
      <c r="J36" s="44"/>
      <c r="K36" s="125">
        <f t="shared" si="0"/>
        <v>0</v>
      </c>
      <c r="L36" s="126"/>
      <c r="M36" s="40"/>
      <c r="N36" s="45"/>
      <c r="O36" s="44"/>
      <c r="P36" s="44"/>
      <c r="Q36" s="125">
        <f t="shared" si="1"/>
        <v>0</v>
      </c>
      <c r="R36" s="126"/>
      <c r="S36" s="40"/>
      <c r="T36" s="45"/>
      <c r="U36" s="44"/>
      <c r="V36" s="44"/>
      <c r="W36" s="125">
        <f t="shared" si="2"/>
        <v>0</v>
      </c>
      <c r="X36" s="126"/>
    </row>
    <row r="37" spans="2:40" ht="14.1" customHeight="1" x14ac:dyDescent="0.25">
      <c r="B37" s="45"/>
      <c r="C37" s="44"/>
      <c r="D37" s="44"/>
      <c r="E37" s="125">
        <f t="shared" si="4"/>
        <v>0</v>
      </c>
      <c r="F37" s="126"/>
      <c r="G37" s="41"/>
      <c r="H37" s="45"/>
      <c r="I37" s="44"/>
      <c r="J37" s="44"/>
      <c r="K37" s="125">
        <f t="shared" si="0"/>
        <v>0</v>
      </c>
      <c r="L37" s="126"/>
      <c r="M37" s="40"/>
      <c r="N37" s="45"/>
      <c r="O37" s="44"/>
      <c r="P37" s="44"/>
      <c r="Q37" s="125">
        <f t="shared" si="1"/>
        <v>0</v>
      </c>
      <c r="R37" s="126"/>
      <c r="S37" s="40"/>
      <c r="T37" s="45"/>
      <c r="U37" s="44"/>
      <c r="V37" s="44"/>
      <c r="W37" s="125">
        <f t="shared" si="2"/>
        <v>0</v>
      </c>
      <c r="X37" s="126"/>
    </row>
    <row r="38" spans="2:40" ht="14.1" customHeight="1" x14ac:dyDescent="0.25">
      <c r="B38" s="45"/>
      <c r="C38" s="44"/>
      <c r="D38" s="44"/>
      <c r="E38" s="125">
        <f t="shared" si="4"/>
        <v>0</v>
      </c>
      <c r="F38" s="126"/>
      <c r="G38" s="41"/>
      <c r="H38" s="45"/>
      <c r="I38" s="44"/>
      <c r="J38" s="44"/>
      <c r="K38" s="125">
        <f t="shared" si="0"/>
        <v>0</v>
      </c>
      <c r="L38" s="126"/>
      <c r="M38" s="40"/>
      <c r="N38" s="45"/>
      <c r="O38" s="44"/>
      <c r="P38" s="44"/>
      <c r="Q38" s="125">
        <f t="shared" si="1"/>
        <v>0</v>
      </c>
      <c r="R38" s="126"/>
      <c r="S38" s="40"/>
      <c r="T38" s="45"/>
      <c r="U38" s="44"/>
      <c r="V38" s="44"/>
      <c r="W38" s="125">
        <f t="shared" si="2"/>
        <v>0</v>
      </c>
      <c r="X38" s="126"/>
      <c r="Z38" s="48">
        <f>IF($Z$10=1,AD38,IF($Z$10=2,AE38,IF($Z$10=3,AF38,IF($Z$10=4,AG38,0))))</f>
        <v>0</v>
      </c>
      <c r="AA38" s="1" t="s">
        <v>192</v>
      </c>
      <c r="AD38" s="46"/>
      <c r="AE38" s="47">
        <f>IF(AND(Z10=2,OR(Z20=15,Z20=16,Z20=17)),1,0)</f>
        <v>0</v>
      </c>
      <c r="AF38" s="47">
        <f>IF(AND(Z10=3,OR(Z20=15,Z20=16,Z20=17)),1,0)</f>
        <v>0</v>
      </c>
      <c r="AG38" s="46">
        <f>IF(AND(Z10=4,OR(Z20=15,Z20=16,Z20=17)),1,0)</f>
        <v>0</v>
      </c>
    </row>
    <row r="39" spans="2:40" ht="14.1" customHeight="1" x14ac:dyDescent="0.25">
      <c r="B39" s="45"/>
      <c r="C39" s="44"/>
      <c r="D39" s="44"/>
      <c r="E39" s="125">
        <f t="shared" si="4"/>
        <v>0</v>
      </c>
      <c r="F39" s="126"/>
      <c r="G39" s="41"/>
      <c r="H39" s="45"/>
      <c r="I39" s="44"/>
      <c r="J39" s="44"/>
      <c r="K39" s="125">
        <f t="shared" si="0"/>
        <v>0</v>
      </c>
      <c r="L39" s="126"/>
      <c r="M39" s="40"/>
      <c r="N39" s="45"/>
      <c r="O39" s="44"/>
      <c r="P39" s="44"/>
      <c r="Q39" s="125">
        <f t="shared" si="1"/>
        <v>0</v>
      </c>
      <c r="R39" s="126"/>
      <c r="S39" s="40"/>
      <c r="T39" s="45"/>
      <c r="U39" s="44"/>
      <c r="V39" s="44"/>
      <c r="W39" s="125">
        <f t="shared" si="2"/>
        <v>0</v>
      </c>
      <c r="X39" s="126"/>
    </row>
    <row r="40" spans="2:40" ht="14.1" customHeight="1" x14ac:dyDescent="0.25">
      <c r="B40" s="45"/>
      <c r="C40" s="44"/>
      <c r="D40" s="44"/>
      <c r="E40" s="125">
        <f t="shared" si="4"/>
        <v>0</v>
      </c>
      <c r="F40" s="126"/>
      <c r="G40" s="41"/>
      <c r="H40" s="45"/>
      <c r="I40" s="44"/>
      <c r="J40" s="44"/>
      <c r="K40" s="125">
        <f t="shared" si="0"/>
        <v>0</v>
      </c>
      <c r="L40" s="126"/>
      <c r="M40" s="40"/>
      <c r="N40" s="45"/>
      <c r="O40" s="44"/>
      <c r="P40" s="44"/>
      <c r="Q40" s="125">
        <f t="shared" si="1"/>
        <v>0</v>
      </c>
      <c r="R40" s="126"/>
      <c r="S40" s="40"/>
      <c r="T40" s="45"/>
      <c r="U40" s="44"/>
      <c r="V40" s="44"/>
      <c r="W40" s="125">
        <f t="shared" si="2"/>
        <v>0</v>
      </c>
      <c r="X40" s="126"/>
    </row>
    <row r="41" spans="2:40" ht="14.1" customHeight="1" x14ac:dyDescent="0.25">
      <c r="B41" s="45"/>
      <c r="C41" s="44"/>
      <c r="D41" s="44"/>
      <c r="E41" s="125">
        <f t="shared" si="4"/>
        <v>0</v>
      </c>
      <c r="F41" s="126"/>
      <c r="G41" s="41"/>
      <c r="H41" s="45"/>
      <c r="I41" s="44"/>
      <c r="J41" s="44"/>
      <c r="K41" s="125">
        <f t="shared" si="0"/>
        <v>0</v>
      </c>
      <c r="L41" s="126"/>
      <c r="M41" s="40"/>
      <c r="N41" s="45"/>
      <c r="O41" s="44"/>
      <c r="P41" s="44"/>
      <c r="Q41" s="125">
        <f t="shared" si="1"/>
        <v>0</v>
      </c>
      <c r="R41" s="126"/>
      <c r="S41" s="40"/>
      <c r="T41" s="45"/>
      <c r="U41" s="44"/>
      <c r="V41" s="44"/>
      <c r="W41" s="125">
        <f t="shared" si="2"/>
        <v>0</v>
      </c>
      <c r="X41" s="126"/>
    </row>
    <row r="42" spans="2:40" ht="14.1" customHeight="1" x14ac:dyDescent="0.25">
      <c r="B42" s="45"/>
      <c r="C42" s="44"/>
      <c r="D42" s="44"/>
      <c r="E42" s="125">
        <f t="shared" si="4"/>
        <v>0</v>
      </c>
      <c r="F42" s="126"/>
      <c r="G42" s="41"/>
      <c r="H42" s="45"/>
      <c r="I42" s="44"/>
      <c r="J42" s="44"/>
      <c r="K42" s="125">
        <f t="shared" si="0"/>
        <v>0</v>
      </c>
      <c r="L42" s="126"/>
      <c r="M42" s="40"/>
      <c r="N42" s="45"/>
      <c r="O42" s="44"/>
      <c r="P42" s="44"/>
      <c r="Q42" s="125">
        <f t="shared" si="1"/>
        <v>0</v>
      </c>
      <c r="R42" s="126"/>
      <c r="S42" s="40"/>
      <c r="T42" s="45"/>
      <c r="U42" s="44"/>
      <c r="V42" s="44"/>
      <c r="W42" s="125">
        <f t="shared" si="2"/>
        <v>0</v>
      </c>
      <c r="X42" s="126"/>
    </row>
    <row r="43" spans="2:40" ht="14.1" customHeight="1" x14ac:dyDescent="0.25">
      <c r="B43" s="45"/>
      <c r="C43" s="44"/>
      <c r="D43" s="44"/>
      <c r="E43" s="125">
        <f t="shared" si="4"/>
        <v>0</v>
      </c>
      <c r="F43" s="126"/>
      <c r="G43" s="41"/>
      <c r="H43" s="45"/>
      <c r="I43" s="44"/>
      <c r="J43" s="44"/>
      <c r="K43" s="125">
        <f t="shared" si="0"/>
        <v>0</v>
      </c>
      <c r="L43" s="126"/>
      <c r="M43" s="40"/>
      <c r="N43" s="45"/>
      <c r="O43" s="44"/>
      <c r="P43" s="44"/>
      <c r="Q43" s="125">
        <f t="shared" si="1"/>
        <v>0</v>
      </c>
      <c r="R43" s="126"/>
      <c r="S43" s="40"/>
      <c r="T43" s="45"/>
      <c r="U43" s="44"/>
      <c r="V43" s="44"/>
      <c r="W43" s="125">
        <f t="shared" si="2"/>
        <v>0</v>
      </c>
      <c r="X43" s="126"/>
    </row>
    <row r="44" spans="2:40" ht="14.1" customHeight="1" x14ac:dyDescent="0.25">
      <c r="B44" s="45"/>
      <c r="C44" s="44"/>
      <c r="D44" s="44"/>
      <c r="E44" s="125">
        <f t="shared" si="4"/>
        <v>0</v>
      </c>
      <c r="F44" s="126"/>
      <c r="G44" s="41"/>
      <c r="H44" s="45"/>
      <c r="I44" s="44"/>
      <c r="J44" s="44"/>
      <c r="K44" s="125">
        <f t="shared" si="0"/>
        <v>0</v>
      </c>
      <c r="L44" s="126"/>
      <c r="M44" s="40"/>
      <c r="N44" s="45"/>
      <c r="O44" s="44"/>
      <c r="P44" s="44"/>
      <c r="Q44" s="125">
        <f t="shared" si="1"/>
        <v>0</v>
      </c>
      <c r="R44" s="126"/>
      <c r="S44" s="40"/>
      <c r="T44" s="45"/>
      <c r="U44" s="44"/>
      <c r="V44" s="44"/>
      <c r="W44" s="125">
        <f t="shared" si="2"/>
        <v>0</v>
      </c>
      <c r="X44" s="126"/>
    </row>
    <row r="45" spans="2:40" ht="14.1" customHeight="1" x14ac:dyDescent="0.25">
      <c r="B45" s="45"/>
      <c r="C45" s="44"/>
      <c r="D45" s="44"/>
      <c r="E45" s="125">
        <f t="shared" si="4"/>
        <v>0</v>
      </c>
      <c r="F45" s="126"/>
      <c r="G45" s="41"/>
      <c r="H45" s="45"/>
      <c r="I45" s="44"/>
      <c r="J45" s="44"/>
      <c r="K45" s="125">
        <f t="shared" si="0"/>
        <v>0</v>
      </c>
      <c r="L45" s="126"/>
      <c r="M45" s="40"/>
      <c r="N45" s="45"/>
      <c r="O45" s="44"/>
      <c r="P45" s="44"/>
      <c r="Q45" s="125">
        <f t="shared" si="1"/>
        <v>0</v>
      </c>
      <c r="R45" s="126"/>
      <c r="S45" s="40"/>
      <c r="T45" s="45"/>
      <c r="U45" s="44"/>
      <c r="V45" s="44"/>
      <c r="W45" s="125">
        <f t="shared" si="2"/>
        <v>0</v>
      </c>
      <c r="X45" s="126"/>
    </row>
    <row r="46" spans="2:40" ht="14.1" customHeight="1" x14ac:dyDescent="0.25">
      <c r="B46" s="45"/>
      <c r="C46" s="44"/>
      <c r="D46" s="44"/>
      <c r="E46" s="125">
        <f t="shared" si="4"/>
        <v>0</v>
      </c>
      <c r="F46" s="126"/>
      <c r="G46" s="41"/>
      <c r="H46" s="45"/>
      <c r="I46" s="44"/>
      <c r="J46" s="44"/>
      <c r="K46" s="125">
        <f t="shared" si="0"/>
        <v>0</v>
      </c>
      <c r="L46" s="126"/>
      <c r="M46" s="41"/>
      <c r="N46" s="45"/>
      <c r="O46" s="44"/>
      <c r="P46" s="44"/>
      <c r="Q46" s="125">
        <f t="shared" si="1"/>
        <v>0</v>
      </c>
      <c r="R46" s="126"/>
      <c r="S46" s="40"/>
      <c r="T46" s="45"/>
      <c r="U46" s="44"/>
      <c r="V46" s="44"/>
      <c r="W46" s="125">
        <f t="shared" si="2"/>
        <v>0</v>
      </c>
      <c r="X46" s="126"/>
    </row>
    <row r="47" spans="2:40" ht="14.1" customHeight="1" x14ac:dyDescent="0.25">
      <c r="B47" s="45"/>
      <c r="C47" s="44"/>
      <c r="D47" s="44"/>
      <c r="E47" s="125">
        <f t="shared" si="4"/>
        <v>0</v>
      </c>
      <c r="F47" s="126"/>
      <c r="G47" s="41"/>
      <c r="H47" s="45"/>
      <c r="I47" s="44"/>
      <c r="J47" s="44"/>
      <c r="K47" s="125">
        <f t="shared" si="0"/>
        <v>0</v>
      </c>
      <c r="L47" s="126"/>
      <c r="M47" s="41"/>
      <c r="N47" s="45"/>
      <c r="O47" s="44"/>
      <c r="P47" s="44"/>
      <c r="Q47" s="125">
        <f t="shared" si="1"/>
        <v>0</v>
      </c>
      <c r="R47" s="126"/>
      <c r="S47" s="40"/>
      <c r="T47" s="45"/>
      <c r="U47" s="44"/>
      <c r="V47" s="44"/>
      <c r="W47" s="125">
        <f t="shared" si="2"/>
        <v>0</v>
      </c>
      <c r="X47" s="126"/>
    </row>
    <row r="48" spans="2:40" ht="14.1" customHeight="1" x14ac:dyDescent="0.25">
      <c r="B48" s="45"/>
      <c r="C48" s="44"/>
      <c r="D48" s="44"/>
      <c r="E48" s="125">
        <f t="shared" si="4"/>
        <v>0</v>
      </c>
      <c r="F48" s="126"/>
      <c r="G48" s="41"/>
      <c r="H48" s="45"/>
      <c r="I48" s="44"/>
      <c r="J48" s="44"/>
      <c r="K48" s="125">
        <f t="shared" si="0"/>
        <v>0</v>
      </c>
      <c r="L48" s="126"/>
      <c r="M48" s="41"/>
      <c r="N48" s="45"/>
      <c r="O48" s="44"/>
      <c r="P48" s="44"/>
      <c r="Q48" s="125">
        <f t="shared" si="1"/>
        <v>0</v>
      </c>
      <c r="R48" s="126"/>
      <c r="S48" s="40"/>
      <c r="T48" s="45"/>
      <c r="U48" s="44"/>
      <c r="V48" s="44"/>
      <c r="W48" s="125">
        <f t="shared" si="2"/>
        <v>0</v>
      </c>
      <c r="X48" s="126"/>
    </row>
    <row r="49" spans="1:69" ht="14.1" customHeight="1" x14ac:dyDescent="0.25">
      <c r="B49" s="45"/>
      <c r="C49" s="44"/>
      <c r="D49" s="44"/>
      <c r="E49" s="125">
        <f t="shared" si="4"/>
        <v>0</v>
      </c>
      <c r="F49" s="126"/>
      <c r="G49" s="41"/>
      <c r="H49" s="45"/>
      <c r="I49" s="44"/>
      <c r="J49" s="44"/>
      <c r="K49" s="125">
        <f t="shared" si="0"/>
        <v>0</v>
      </c>
      <c r="L49" s="126"/>
      <c r="M49" s="41"/>
      <c r="N49" s="45"/>
      <c r="O49" s="44"/>
      <c r="P49" s="44"/>
      <c r="Q49" s="125">
        <f t="shared" si="1"/>
        <v>0</v>
      </c>
      <c r="R49" s="126"/>
      <c r="S49" s="40"/>
      <c r="T49" s="45"/>
      <c r="U49" s="44"/>
      <c r="V49" s="44"/>
      <c r="W49" s="125">
        <f t="shared" si="2"/>
        <v>0</v>
      </c>
      <c r="X49" s="126"/>
    </row>
    <row r="50" spans="1:69" ht="14.1" customHeight="1" x14ac:dyDescent="0.25">
      <c r="B50" s="45"/>
      <c r="C50" s="44"/>
      <c r="D50" s="44"/>
      <c r="E50" s="125">
        <f t="shared" si="4"/>
        <v>0</v>
      </c>
      <c r="F50" s="126"/>
      <c r="G50" s="41"/>
      <c r="H50" s="45"/>
      <c r="I50" s="44"/>
      <c r="J50" s="44"/>
      <c r="K50" s="125">
        <f t="shared" si="0"/>
        <v>0</v>
      </c>
      <c r="L50" s="126"/>
      <c r="M50" s="41"/>
      <c r="N50" s="45"/>
      <c r="O50" s="44"/>
      <c r="P50" s="44"/>
      <c r="Q50" s="125">
        <f t="shared" si="1"/>
        <v>0</v>
      </c>
      <c r="R50" s="126"/>
      <c r="S50" s="40"/>
      <c r="T50" s="45"/>
      <c r="U50" s="44"/>
      <c r="V50" s="44"/>
      <c r="W50" s="125">
        <f t="shared" si="2"/>
        <v>0</v>
      </c>
      <c r="X50" s="126"/>
    </row>
    <row r="51" spans="1:69" ht="14.1" customHeight="1" x14ac:dyDescent="0.25">
      <c r="B51" s="45"/>
      <c r="C51" s="44"/>
      <c r="D51" s="44"/>
      <c r="E51" s="125">
        <f t="shared" si="4"/>
        <v>0</v>
      </c>
      <c r="F51" s="126"/>
      <c r="G51" s="41"/>
      <c r="H51" s="45"/>
      <c r="I51" s="44"/>
      <c r="J51" s="44"/>
      <c r="K51" s="125">
        <f t="shared" si="0"/>
        <v>0</v>
      </c>
      <c r="L51" s="126"/>
      <c r="M51" s="41"/>
      <c r="N51" s="45"/>
      <c r="O51" s="44"/>
      <c r="P51" s="44"/>
      <c r="Q51" s="125">
        <f t="shared" si="1"/>
        <v>0</v>
      </c>
      <c r="R51" s="126"/>
      <c r="S51" s="40"/>
      <c r="T51" s="45"/>
      <c r="U51" s="44"/>
      <c r="V51" s="44"/>
      <c r="W51" s="125">
        <f t="shared" si="2"/>
        <v>0</v>
      </c>
      <c r="X51" s="126"/>
    </row>
    <row r="52" spans="1:69" ht="14.1" customHeight="1" x14ac:dyDescent="0.25">
      <c r="B52" s="45"/>
      <c r="C52" s="44"/>
      <c r="D52" s="44"/>
      <c r="E52" s="125">
        <f t="shared" si="4"/>
        <v>0</v>
      </c>
      <c r="F52" s="126"/>
      <c r="G52" s="41"/>
      <c r="H52" s="45"/>
      <c r="I52" s="44"/>
      <c r="J52" s="44"/>
      <c r="K52" s="125">
        <f t="shared" si="0"/>
        <v>0</v>
      </c>
      <c r="L52" s="126"/>
      <c r="M52" s="41"/>
      <c r="N52" s="45"/>
      <c r="O52" s="44"/>
      <c r="P52" s="44"/>
      <c r="Q52" s="125">
        <f t="shared" si="1"/>
        <v>0</v>
      </c>
      <c r="R52" s="126"/>
      <c r="S52" s="40"/>
      <c r="T52" s="45"/>
      <c r="U52" s="44"/>
      <c r="V52" s="44"/>
      <c r="W52" s="125">
        <f t="shared" si="2"/>
        <v>0</v>
      </c>
      <c r="X52" s="126"/>
    </row>
    <row r="53" spans="1:69" ht="14.1" customHeight="1" x14ac:dyDescent="0.25">
      <c r="B53" s="45"/>
      <c r="C53" s="44"/>
      <c r="D53" s="44"/>
      <c r="E53" s="125">
        <f t="shared" si="4"/>
        <v>0</v>
      </c>
      <c r="F53" s="126"/>
      <c r="G53" s="41"/>
      <c r="H53" s="45"/>
      <c r="I53" s="44"/>
      <c r="J53" s="44"/>
      <c r="K53" s="125">
        <f t="shared" si="0"/>
        <v>0</v>
      </c>
      <c r="L53" s="126"/>
      <c r="M53" s="41"/>
      <c r="N53" s="45"/>
      <c r="O53" s="44"/>
      <c r="P53" s="44"/>
      <c r="Q53" s="125">
        <f t="shared" si="1"/>
        <v>0</v>
      </c>
      <c r="R53" s="126"/>
      <c r="S53" s="40"/>
      <c r="T53" s="45"/>
      <c r="U53" s="44"/>
      <c r="V53" s="44"/>
      <c r="W53" s="125">
        <f t="shared" si="2"/>
        <v>0</v>
      </c>
      <c r="X53" s="126"/>
    </row>
    <row r="54" spans="1:69" ht="14.1" customHeight="1" x14ac:dyDescent="0.25">
      <c r="B54" s="45"/>
      <c r="C54" s="44"/>
      <c r="D54" s="44"/>
      <c r="E54" s="125">
        <f t="shared" si="4"/>
        <v>0</v>
      </c>
      <c r="F54" s="126"/>
      <c r="G54" s="41"/>
      <c r="H54" s="45"/>
      <c r="I54" s="44"/>
      <c r="J54" s="44"/>
      <c r="K54" s="125">
        <f t="shared" si="0"/>
        <v>0</v>
      </c>
      <c r="L54" s="126"/>
      <c r="M54" s="41"/>
      <c r="N54" s="45"/>
      <c r="O54" s="44"/>
      <c r="P54" s="44"/>
      <c r="Q54" s="125">
        <f t="shared" si="1"/>
        <v>0</v>
      </c>
      <c r="R54" s="126"/>
      <c r="S54" s="40"/>
      <c r="T54" s="45"/>
      <c r="U54" s="44"/>
      <c r="V54" s="44"/>
      <c r="W54" s="125">
        <f t="shared" si="2"/>
        <v>0</v>
      </c>
      <c r="X54" s="126"/>
    </row>
    <row r="55" spans="1:69" ht="14.1" customHeight="1" x14ac:dyDescent="0.25">
      <c r="B55" s="43"/>
      <c r="C55" s="42"/>
      <c r="D55" s="42"/>
      <c r="E55" s="204">
        <f t="shared" si="4"/>
        <v>0</v>
      </c>
      <c r="F55" s="205"/>
      <c r="G55" s="41"/>
      <c r="H55" s="39"/>
      <c r="I55" s="38"/>
      <c r="J55" s="38"/>
      <c r="K55" s="127">
        <f t="shared" si="0"/>
        <v>0</v>
      </c>
      <c r="L55" s="128"/>
      <c r="M55" s="41"/>
      <c r="N55" s="39"/>
      <c r="O55" s="38"/>
      <c r="P55" s="38"/>
      <c r="Q55" s="127">
        <f t="shared" si="1"/>
        <v>0</v>
      </c>
      <c r="R55" s="128"/>
      <c r="S55" s="40"/>
      <c r="T55" s="39"/>
      <c r="U55" s="38"/>
      <c r="V55" s="38"/>
      <c r="W55" s="127">
        <f t="shared" si="2"/>
        <v>0</v>
      </c>
      <c r="X55" s="128"/>
    </row>
    <row r="56" spans="1:69" ht="14.1" customHeight="1" thickBot="1" x14ac:dyDescent="0.3">
      <c r="B56" s="35" t="str">
        <f>VLOOKUP("Artikel Nr.",Sprachindex!$A:$W,$Z$7,FALSE) &amp; " " &amp; 594050 &amp; IF(Z10=4,"X","")</f>
        <v>Référence 594050</v>
      </c>
      <c r="D56" s="37"/>
      <c r="E56" s="199" t="str">
        <f>IF(SUM(E31:E55)=0,"",SUM(E31:E55))</f>
        <v/>
      </c>
      <c r="F56" s="199"/>
      <c r="G56" s="36"/>
      <c r="H56" s="35" t="str">
        <f>VLOOKUP("Artikel Nr.",Sprachindex!$A:$W,$Z$7,FALSE) &amp; " " &amp; 594050 &amp; IF(Z10=4,"X","")</f>
        <v>Référence 594050</v>
      </c>
      <c r="J56" s="34"/>
      <c r="K56" s="124" t="str">
        <f>IF(SUM(K31:K55)=0,"",SUM(K31:K55))</f>
        <v/>
      </c>
      <c r="L56" s="124"/>
      <c r="M56" s="36"/>
      <c r="N56" s="35" t="str">
        <f>VLOOKUP("Artikel Nr.",Sprachindex!$A:$W,$Z$7,FALSE) &amp; " " &amp; 594050 &amp; IF(Z10=4,"X","")</f>
        <v>Référence 594050</v>
      </c>
      <c r="P56" s="34"/>
      <c r="Q56" s="124" t="str">
        <f>IF(SUM(Q31:Q55)=0,"",SUM(Q31:Q55))</f>
        <v/>
      </c>
      <c r="R56" s="124"/>
      <c r="S56" s="25"/>
      <c r="T56" s="35" t="str">
        <f>VLOOKUP("Artikel Nr.",Sprachindex!$A:$W,$Z$7,FALSE) &amp; " " &amp; 594050 &amp; IF(Z10=4,"X","")</f>
        <v>Référence 594050</v>
      </c>
      <c r="V56" s="34"/>
      <c r="W56" s="124" t="str">
        <f>IF(SUM(W31:W55)=0,"",SUM(W31:W55))</f>
        <v/>
      </c>
      <c r="X56" s="124"/>
    </row>
    <row r="57" spans="1:69" ht="14.1" customHeight="1" thickTop="1" x14ac:dyDescent="0.25">
      <c r="C57" s="31">
        <f>SUM(C31:C55)</f>
        <v>0</v>
      </c>
      <c r="D57" s="29"/>
      <c r="E57" s="29"/>
      <c r="F57" s="29"/>
      <c r="G57" s="33"/>
      <c r="H57" s="33"/>
      <c r="I57" s="31">
        <f>SUM(I31:I55)</f>
        <v>0</v>
      </c>
      <c r="J57" s="32"/>
      <c r="K57" s="32"/>
      <c r="L57" s="29" t="str">
        <f>IF(AND(K56&lt;10,Z10=4),VLOOKUP("Mindestmenge",Sprachindex!$A:$W,$Z$7,FALSE) &amp; " " &amp; 10 &amp; " m²","")</f>
        <v/>
      </c>
      <c r="M57" s="33"/>
      <c r="N57" s="33"/>
      <c r="O57" s="31">
        <f>SUM(O31:O55)</f>
        <v>0</v>
      </c>
      <c r="P57" s="32"/>
      <c r="Q57" s="32"/>
      <c r="R57" s="29" t="str">
        <f>IF(AND(Q56&lt;10,Z10=4),VLOOKUP("Mindestmenge",Sprachindex!$A:$W,$Z$7,FALSE) &amp; " " &amp; 10 &amp; " m²","")</f>
        <v/>
      </c>
      <c r="U57" s="31">
        <f>SUM(U31:U55)</f>
        <v>0</v>
      </c>
      <c r="V57" s="30"/>
      <c r="W57" s="30"/>
      <c r="X57" s="29" t="str">
        <f>IF(AND(W56&lt;10,Z10=4),VLOOKUP("Mindestmenge",Sprachindex!$A:$W,$Z$7,FALSE) &amp; " " &amp; 10 &amp; " m²","")</f>
        <v/>
      </c>
    </row>
    <row r="58" spans="1:69" ht="14.1" customHeight="1" x14ac:dyDescent="0.25">
      <c r="A58" s="6" t="str">
        <f>VLOOKUP("Anwendungstechnik",Sprachindex!$A:$W,$Z$7,FALSE)</f>
        <v>Service technique</v>
      </c>
      <c r="B58" s="4"/>
      <c r="C58" s="4"/>
      <c r="D58" s="141"/>
      <c r="E58" s="141"/>
      <c r="F58" s="141"/>
      <c r="G58" s="141"/>
      <c r="H58" s="141"/>
      <c r="I58" s="141"/>
      <c r="J58" s="141"/>
      <c r="K58" s="141"/>
      <c r="L58" s="141"/>
      <c r="M58" s="4"/>
      <c r="N58" s="4"/>
      <c r="O58" s="4"/>
      <c r="P58" s="5"/>
      <c r="Q58" s="4"/>
      <c r="R58" s="4"/>
      <c r="S58" s="4"/>
      <c r="T58" s="4"/>
      <c r="U58" s="4"/>
      <c r="V58" s="4"/>
      <c r="W58" s="3" t="str">
        <f>VLOOKUP("Stand:",Sprachindex!$A:$W,$Z$7,FALSE)</f>
        <v>Version :</v>
      </c>
      <c r="X58" s="148">
        <v>44692</v>
      </c>
      <c r="Y58" s="149"/>
    </row>
    <row r="59" spans="1:69" ht="27.75" x14ac:dyDescent="0.25">
      <c r="X59" s="27" t="str">
        <f>VLOOKUP("PREFA FASSADENSYSTEME",Sprachindex!$A:$W,$Z$7,FALSE)</f>
        <v>FAÇADES PREFA</v>
      </c>
      <c r="Z59" s="2"/>
    </row>
    <row r="60" spans="1:69" ht="28.5" thickBot="1" x14ac:dyDescent="0.3">
      <c r="C60" s="203"/>
      <c r="D60" s="203"/>
      <c r="E60" s="28"/>
      <c r="X60" s="27" t="str">
        <f>VLOOKUP("SIDING ZUBEHÖR",Sprachindex!$A:$W,$Z$7,FALSE)</f>
        <v>ACCESSOIRES POUR SIDINGS</v>
      </c>
      <c r="Z60" s="2"/>
      <c r="AC60" s="140" t="s">
        <v>191</v>
      </c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2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</row>
    <row r="61" spans="1:69" s="24" customFormat="1" ht="24.95" customHeight="1" x14ac:dyDescent="0.25">
      <c r="C61" s="191" t="str">
        <f>VLOOKUP("Menge",Sprachindex!$A:$W,$Z$7,FALSE)</f>
        <v>Quantité</v>
      </c>
      <c r="D61" s="146"/>
      <c r="E61" s="146" t="str">
        <f>VLOOKUP("Einheit",Sprachindex!$A:$W,$Z$7,FALSE)</f>
        <v>Unité</v>
      </c>
      <c r="F61" s="146"/>
      <c r="G61" s="146" t="str">
        <f>VLOOKUP("Abbildung",Sprachindex!$A:$W,$Z$7,FALSE)</f>
        <v>Illustration</v>
      </c>
      <c r="H61" s="146"/>
      <c r="I61" s="146" t="str">
        <f>VLOOKUP("Artikel Nr.",Sprachindex!$A:$W,$Z$7,FALSE)</f>
        <v>Référence</v>
      </c>
      <c r="J61" s="146"/>
      <c r="K61" s="143" t="str">
        <f>VLOOKUP("Bezeichnung",Sprachindex!$A:$W,$Z$7,FALSE)</f>
        <v>Désignation</v>
      </c>
      <c r="L61" s="144"/>
      <c r="M61" s="144"/>
      <c r="N61" s="144"/>
      <c r="O61" s="144"/>
      <c r="P61" s="144"/>
      <c r="Q61" s="144"/>
      <c r="R61" s="144"/>
      <c r="S61" s="144"/>
      <c r="T61" s="144"/>
      <c r="U61" s="145"/>
      <c r="V61" s="146" t="str">
        <f>VLOOKUP("Total",Sprachindex!$A:$W,$Z$7,FALSE)</f>
        <v>Total</v>
      </c>
      <c r="W61" s="147"/>
      <c r="Z61" s="26"/>
      <c r="AC61" s="20" t="s">
        <v>59</v>
      </c>
      <c r="AD61" s="20" t="s">
        <v>58</v>
      </c>
      <c r="AE61" s="20" t="s">
        <v>57</v>
      </c>
      <c r="AF61" s="20" t="s">
        <v>56</v>
      </c>
      <c r="AG61" s="20" t="s">
        <v>55</v>
      </c>
      <c r="AH61" s="20" t="s">
        <v>54</v>
      </c>
      <c r="AI61" s="20" t="s">
        <v>53</v>
      </c>
      <c r="AJ61" s="20" t="s">
        <v>52</v>
      </c>
      <c r="AK61" s="20" t="s">
        <v>51</v>
      </c>
      <c r="AL61" s="20" t="s">
        <v>50</v>
      </c>
      <c r="AM61" s="20" t="s">
        <v>49</v>
      </c>
      <c r="AN61" s="20" t="s">
        <v>48</v>
      </c>
      <c r="AO61" s="20" t="s">
        <v>47</v>
      </c>
      <c r="AP61" s="20" t="s">
        <v>46</v>
      </c>
      <c r="AQ61" s="19" t="s">
        <v>45</v>
      </c>
      <c r="AR61" s="19" t="s">
        <v>44</v>
      </c>
      <c r="AS61" s="19" t="s">
        <v>43</v>
      </c>
      <c r="AT61" s="19" t="s">
        <v>42</v>
      </c>
      <c r="AU61" s="19" t="s">
        <v>41</v>
      </c>
      <c r="AV61" s="19" t="s">
        <v>40</v>
      </c>
      <c r="AW61" s="19" t="s">
        <v>39</v>
      </c>
      <c r="AX61" s="16" t="s">
        <v>38</v>
      </c>
      <c r="AY61" s="1"/>
      <c r="AZ61" s="1"/>
      <c r="BA61" s="1"/>
      <c r="BB61" s="1"/>
      <c r="BC61" s="1"/>
      <c r="BD61" s="1"/>
      <c r="BE61" s="1"/>
      <c r="BF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</row>
    <row r="62" spans="1:69" ht="24.95" customHeight="1" x14ac:dyDescent="0.25">
      <c r="C62" s="117"/>
      <c r="D62" s="118"/>
      <c r="E62" s="113" t="str">
        <f>VLOOKUP("kg",Sprachindex!$A:$W,$Z$7,FALSE)</f>
        <v>kg</v>
      </c>
      <c r="F62" s="113"/>
      <c r="G62" s="113"/>
      <c r="H62" s="113"/>
      <c r="I62" s="113" t="e">
        <f>AX62</f>
        <v>#VALUE!</v>
      </c>
      <c r="J62" s="113"/>
      <c r="K62" s="200" t="str">
        <f>VLOOKUP("Ergänzungsband",Sprachindex!$A:$W,$Z$7,FALSE) &amp; " 0,7 x 708 mm"</f>
        <v>bande complémentaire 0,7 x 708 mm</v>
      </c>
      <c r="L62" s="201"/>
      <c r="M62" s="201"/>
      <c r="N62" s="201"/>
      <c r="O62" s="201"/>
      <c r="P62" s="201"/>
      <c r="Q62" s="201"/>
      <c r="R62" s="201"/>
      <c r="S62" s="201"/>
      <c r="T62" s="201"/>
      <c r="U62" s="202"/>
      <c r="V62" s="122" t="str">
        <f>IF(AND(N62&gt;0,P62&gt;0,R62&gt;0,T62&gt;0),IF(AND(OR(P62=#REF!,P62=#REF!,P62=#REF!,P62=#REF!,P62=#REF!,P62=#REF!,P62=#REF!,P62=#REF!,P62=#REF!,P62=#REF!,P62=#REF!,P62=#REF!,P62=#REF!,P62=#REF!),R62=#REF!),'Siding138+200+300+400'!X62,Y62),"")</f>
        <v/>
      </c>
      <c r="W62" s="123"/>
      <c r="X62" s="23" t="str">
        <f>IF(C62&gt;0,ROUNDUP(C62/60,0)*60 &amp; " " &amp; VLOOKUP("kg",Sprachindex!$A:$W,$Z$7,FALSE),"")</f>
        <v/>
      </c>
      <c r="Y62" s="23" t="str">
        <f>IF(C62&gt;0,ROUNDUP(C62/30,0)*30 &amp; " " &amp; VLOOKUP("kg",Sprachindex!$A:$W,$Z$7,FALSE),"")</f>
        <v/>
      </c>
      <c r="AC62" s="18" t="s">
        <v>155</v>
      </c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7" t="s">
        <v>190</v>
      </c>
      <c r="AR62" s="17" t="s">
        <v>189</v>
      </c>
      <c r="AS62" s="17"/>
      <c r="AT62" s="17" t="s">
        <v>188</v>
      </c>
      <c r="AU62" s="17"/>
      <c r="AV62" s="17"/>
      <c r="AW62" s="17"/>
      <c r="AX62" s="16" t="e">
        <f>VLOOKUP(AC62,AC62:AW62,$Z$20,FALSE)</f>
        <v>#VALUE!</v>
      </c>
    </row>
    <row r="63" spans="1:69" ht="24.95" customHeight="1" x14ac:dyDescent="0.25">
      <c r="C63" s="117"/>
      <c r="D63" s="118"/>
      <c r="E63" s="113" t="str">
        <f>VLOOKUP("kg",Sprachindex!$A:$W,$Z$7,FALSE)</f>
        <v>kg</v>
      </c>
      <c r="F63" s="113"/>
      <c r="G63" s="113"/>
      <c r="H63" s="113"/>
      <c r="I63" s="113" t="e">
        <f>AX63</f>
        <v>#VALUE!</v>
      </c>
      <c r="J63" s="113"/>
      <c r="K63" s="114" t="str">
        <f>VLOOKUP("Ergänzungsband",Sprachindex!$A:$W,$Z$7,FALSE) &amp; " 0,7 x 1.000 mm"</f>
        <v>bande complémentaire 0,7 x 1.000 mm</v>
      </c>
      <c r="L63" s="115"/>
      <c r="M63" s="115"/>
      <c r="N63" s="115"/>
      <c r="O63" s="115"/>
      <c r="P63" s="115"/>
      <c r="Q63" s="115"/>
      <c r="R63" s="115"/>
      <c r="S63" s="115"/>
      <c r="T63" s="115"/>
      <c r="U63" s="116"/>
      <c r="V63" s="122" t="str">
        <f>IF(AND(N63&gt;0,P63&gt;0,R63&gt;0,T63&gt;0),IF(AND(OR(P63=#REF!,P63=#REF!,P63=#REF!,P63=#REF!,P63=#REF!,P63=#REF!,P63=#REF!,P63=#REF!,P63=#REF!,P63=#REF!,P63=#REF!,P63=#REF!,P63=#REF!,P63=#REF!),R63=#REF!),'Siding138+200+300+400'!X63,Y63),"")</f>
        <v/>
      </c>
      <c r="W63" s="123"/>
      <c r="X63" s="23" t="str">
        <f>IF(C63&gt;0,ROUNDUP(C63/60,0)*60 &amp; " " &amp; VLOOKUP("kg",Sprachindex!$A:$W,$Z$7,FALSE),"")</f>
        <v/>
      </c>
      <c r="Y63" s="23" t="str">
        <f>IF(C63&gt;0,ROUNDUP(C63/30,0)*30 &amp; " " &amp; VLOOKUP("kg",Sprachindex!$A:$W,$Z$7,FALSE),"")</f>
        <v/>
      </c>
      <c r="AC63" s="18" t="s">
        <v>187</v>
      </c>
      <c r="AD63" s="18" t="s">
        <v>186</v>
      </c>
      <c r="AE63" s="18" t="s">
        <v>185</v>
      </c>
      <c r="AF63" s="18" t="s">
        <v>184</v>
      </c>
      <c r="AG63" s="18" t="s">
        <v>183</v>
      </c>
      <c r="AH63" s="18" t="s">
        <v>182</v>
      </c>
      <c r="AI63" s="18" t="s">
        <v>181</v>
      </c>
      <c r="AJ63" s="18" t="s">
        <v>180</v>
      </c>
      <c r="AK63" s="18" t="s">
        <v>179</v>
      </c>
      <c r="AL63" s="18" t="s">
        <v>178</v>
      </c>
      <c r="AM63" s="18" t="s">
        <v>177</v>
      </c>
      <c r="AN63" s="18" t="s">
        <v>176</v>
      </c>
      <c r="AO63" s="18"/>
      <c r="AP63" s="18"/>
      <c r="AQ63" s="17"/>
      <c r="AR63" s="17"/>
      <c r="AS63" s="17"/>
      <c r="AT63" s="17"/>
      <c r="AU63" s="17" t="s">
        <v>175</v>
      </c>
      <c r="AV63" s="17"/>
      <c r="AW63" s="17" t="s">
        <v>174</v>
      </c>
      <c r="AX63" s="16" t="e">
        <f>VLOOKUP(AC63,AC63:AW63,$Z$20,FALSE)</f>
        <v>#VALUE!</v>
      </c>
    </row>
    <row r="64" spans="1:69" ht="24.95" customHeight="1" x14ac:dyDescent="0.25">
      <c r="C64" s="117"/>
      <c r="D64" s="118"/>
      <c r="E64" s="113" t="str">
        <f>VLOOKUP("kg",Sprachindex!$A:$W,$Z$7,FALSE)</f>
        <v>kg</v>
      </c>
      <c r="F64" s="113"/>
      <c r="G64" s="113"/>
      <c r="H64" s="113"/>
      <c r="I64" s="113" t="e">
        <f>AX64</f>
        <v>#VALUE!</v>
      </c>
      <c r="J64" s="113"/>
      <c r="K64" s="114" t="str">
        <f>VLOOKUP("Ergänzungsband",Sprachindex!$A:$W,$Z$7,FALSE) &amp; " 1,0 x 1.100 mm"</f>
        <v>bande complémentaire 1,0 x 1.100 mm</v>
      </c>
      <c r="L64" s="115"/>
      <c r="M64" s="115"/>
      <c r="N64" s="115"/>
      <c r="O64" s="115"/>
      <c r="P64" s="115"/>
      <c r="Q64" s="115"/>
      <c r="R64" s="115"/>
      <c r="S64" s="115"/>
      <c r="T64" s="115"/>
      <c r="U64" s="116"/>
      <c r="V64" s="122" t="str">
        <f>IF(AND(N64&gt;0,P64&gt;0,R64&gt;0,T64&gt;0),IF(AND(OR(P64=#REF!,P64=#REF!,P64=#REF!,P64=#REF!,P64=#REF!,P64=#REF!,P64=#REF!,P64=#REF!,P64=#REF!,P64=#REF!,P64=#REF!,P64=#REF!,P64=#REF!,P64=#REF!),R64=#REF!),'Siding138+200+300+400'!X64,Y64),"")</f>
        <v/>
      </c>
      <c r="W64" s="123"/>
      <c r="X64" s="23" t="str">
        <f>IF(C64&gt;0,ROUNDUP(C64/60,0)*60 &amp; " " &amp; VLOOKUP("kg",Sprachindex!$A:$W,$Z$7,FALSE),"")</f>
        <v/>
      </c>
      <c r="Y64" s="23" t="str">
        <f>IF(C64&gt;0,ROUNDUP(C64/30,0)*30 &amp; " " &amp; VLOOKUP("kg",Sprachindex!$A:$W,$Z$7,FALSE),"")</f>
        <v/>
      </c>
      <c r="AC64" s="18" t="s">
        <v>173</v>
      </c>
      <c r="AD64" s="18"/>
      <c r="AE64" s="18"/>
      <c r="AF64" s="18" t="s">
        <v>154</v>
      </c>
      <c r="AG64" s="18" t="s">
        <v>153</v>
      </c>
      <c r="AH64" s="18" t="s">
        <v>152</v>
      </c>
      <c r="AI64" s="18" t="s">
        <v>172</v>
      </c>
      <c r="AJ64" s="18"/>
      <c r="AK64" s="18" t="s">
        <v>151</v>
      </c>
      <c r="AL64" s="18"/>
      <c r="AM64" s="18"/>
      <c r="AN64" s="18"/>
      <c r="AO64" s="18"/>
      <c r="AP64" s="18"/>
      <c r="AQ64" s="17"/>
      <c r="AR64" s="17"/>
      <c r="AS64" s="17"/>
      <c r="AT64" s="17"/>
      <c r="AU64" s="17"/>
      <c r="AV64" s="17"/>
      <c r="AW64" s="17"/>
      <c r="AX64" s="16" t="e">
        <f>VLOOKUP(AC64,AC64:AW64,$Z$20,FALSE)</f>
        <v>#VALUE!</v>
      </c>
    </row>
    <row r="65" spans="2:50" ht="24.95" customHeight="1" x14ac:dyDescent="0.25">
      <c r="C65" s="117"/>
      <c r="D65" s="118"/>
      <c r="E65" s="113" t="str">
        <f>VLOOKUP("kg",Sprachindex!$A:$W,$Z$7,FALSE)</f>
        <v>kg</v>
      </c>
      <c r="F65" s="113"/>
      <c r="G65" s="113"/>
      <c r="H65" s="113"/>
      <c r="I65" s="113" t="e">
        <f>AX65</f>
        <v>#VALUE!</v>
      </c>
      <c r="J65" s="113"/>
      <c r="K65" s="114" t="str">
        <f>VLOOKUP("Ergänzungsband",Sprachindex!$A:$W,$Z$7,FALSE) &amp; " 1,0 x 1.200 mm"</f>
        <v>bande complémentaire 1,0 x 1.200 mm</v>
      </c>
      <c r="L65" s="115"/>
      <c r="M65" s="115"/>
      <c r="N65" s="115"/>
      <c r="O65" s="115"/>
      <c r="P65" s="115"/>
      <c r="Q65" s="115"/>
      <c r="R65" s="115"/>
      <c r="S65" s="115"/>
      <c r="T65" s="115"/>
      <c r="U65" s="116"/>
      <c r="V65" s="122" t="str">
        <f>IF(AND(N65&gt;0,P65&gt;0,R65&gt;0,T65&gt;0),IF(AND(OR(P65=#REF!,P65=#REF!,P65=#REF!,P65=#REF!,P65=#REF!,P65=#REF!,P65=#REF!,P65=#REF!,P65=#REF!,P65=#REF!,P65=#REF!,P65=#REF!,P65=#REF!,P65=#REF!),R65=#REF!),'Siding138+200+300+400'!X65,Y65),"")</f>
        <v/>
      </c>
      <c r="W65" s="123"/>
      <c r="X65" s="23" t="str">
        <f>IF(C65&gt;0,ROUNDUP(C65/60,0)*60 &amp; " " &amp; VLOOKUP("kg",Sprachindex!$A:$W,$Z$7,FALSE),"")</f>
        <v/>
      </c>
      <c r="Y65" s="23" t="str">
        <f>IF(C65&gt;0,ROUNDUP(C65/30,0)*30 &amp; " " &amp; VLOOKUP("kg",Sprachindex!$A:$W,$Z$7,FALSE),"")</f>
        <v/>
      </c>
      <c r="AC65" s="18" t="s">
        <v>171</v>
      </c>
      <c r="AD65" s="18" t="s">
        <v>170</v>
      </c>
      <c r="AE65" s="18" t="s">
        <v>169</v>
      </c>
      <c r="AF65" s="18"/>
      <c r="AG65" s="18"/>
      <c r="AH65" s="18"/>
      <c r="AI65" s="18" t="s">
        <v>168</v>
      </c>
      <c r="AJ65" s="18" t="s">
        <v>167</v>
      </c>
      <c r="AK65" s="18"/>
      <c r="AL65" s="18" t="s">
        <v>166</v>
      </c>
      <c r="AM65" s="18" t="s">
        <v>165</v>
      </c>
      <c r="AN65" s="18" t="s">
        <v>164</v>
      </c>
      <c r="AO65" s="18" t="s">
        <v>163</v>
      </c>
      <c r="AP65" s="18" t="s">
        <v>157</v>
      </c>
      <c r="AQ65" s="17" t="s">
        <v>162</v>
      </c>
      <c r="AR65" s="17" t="s">
        <v>161</v>
      </c>
      <c r="AS65" s="17" t="s">
        <v>160</v>
      </c>
      <c r="AT65" s="17" t="s">
        <v>159</v>
      </c>
      <c r="AU65" s="17" t="s">
        <v>158</v>
      </c>
      <c r="AV65" s="17" t="s">
        <v>157</v>
      </c>
      <c r="AW65" s="17" t="s">
        <v>156</v>
      </c>
      <c r="AX65" s="16" t="e">
        <f>VLOOKUP(AC65,AC65:AW65,$Z$20,FALSE)</f>
        <v>#VALUE!</v>
      </c>
    </row>
    <row r="66" spans="2:50" ht="24.95" customHeight="1" x14ac:dyDescent="0.25">
      <c r="C66" s="117"/>
      <c r="D66" s="118"/>
      <c r="E66" s="113" t="str">
        <f>VLOOKUP("kg",Sprachindex!$A:$W,$Z$7,FALSE)</f>
        <v>kg</v>
      </c>
      <c r="F66" s="113"/>
      <c r="G66" s="113"/>
      <c r="H66" s="113"/>
      <c r="I66" s="113" t="e">
        <f>AX66</f>
        <v>#VALUE!</v>
      </c>
      <c r="J66" s="113"/>
      <c r="K66" s="114" t="str">
        <f>VLOOKUP("Ergänzungsband",Sprachindex!$A:$W,$Z$7,FALSE) &amp; " 1,0 x 1.100 mm"</f>
        <v>bande complémentaire 1,0 x 1.100 mm</v>
      </c>
      <c r="L66" s="115"/>
      <c r="M66" s="115"/>
      <c r="N66" s="115"/>
      <c r="O66" s="115"/>
      <c r="P66" s="115"/>
      <c r="Q66" s="115"/>
      <c r="R66" s="115"/>
      <c r="S66" s="115"/>
      <c r="T66" s="115"/>
      <c r="U66" s="116"/>
      <c r="V66" s="122" t="str">
        <f>IF(AND(N66&gt;0,P66&gt;0,R66&gt;0,T66&gt;0),IF(AND(OR(P66=#REF!,P66=#REF!,P66=#REF!,P66=#REF!,P66=#REF!,P66=#REF!,P66=#REF!,P66=#REF!,P66=#REF!,P66=#REF!,P66=#REF!,P66=#REF!,P66=#REF!,P66=#REF!),R66=#REF!),'Siding138+200+300+400'!X66,Y66),"")</f>
        <v/>
      </c>
      <c r="W66" s="123"/>
      <c r="X66" s="23" t="str">
        <f>IF(C66&gt;0,ROUNDUP(C66/60,0)*60 &amp; " " &amp; VLOOKUP("kg",Sprachindex!$A:$W,$Z$7,FALSE),"")</f>
        <v/>
      </c>
      <c r="Y66" s="23" t="str">
        <f>IF(C66&gt;0,ROUNDUP(C66/30,0)*30 &amp; " " &amp; VLOOKUP("kg",Sprachindex!$A:$W,$Z$7,FALSE),"")</f>
        <v/>
      </c>
      <c r="AC66" s="18" t="s">
        <v>155</v>
      </c>
      <c r="AD66" s="18"/>
      <c r="AE66" s="18"/>
      <c r="AF66" s="18" t="s">
        <v>154</v>
      </c>
      <c r="AG66" s="18" t="s">
        <v>153</v>
      </c>
      <c r="AH66" s="18" t="s">
        <v>152</v>
      </c>
      <c r="AI66" s="18"/>
      <c r="AJ66" s="18"/>
      <c r="AK66" s="18" t="s">
        <v>151</v>
      </c>
      <c r="AL66" s="18"/>
      <c r="AM66" s="18"/>
      <c r="AN66" s="18"/>
      <c r="AO66" s="18"/>
      <c r="AP66" s="18"/>
      <c r="AQ66" s="17"/>
      <c r="AR66" s="17"/>
      <c r="AS66" s="17"/>
      <c r="AT66" s="17"/>
      <c r="AU66" s="17"/>
      <c r="AV66" s="17"/>
      <c r="AW66" s="17"/>
      <c r="AX66" s="16" t="e">
        <f>VLOOKUP(AC66,AC66:AW66,$Z$20,FALSE)</f>
        <v>#VALUE!</v>
      </c>
    </row>
    <row r="67" spans="2:50" ht="24.95" customHeight="1" x14ac:dyDescent="0.25">
      <c r="B67" s="21">
        <f>IF(OR(U57&gt;0,AND(O57&gt;0,Z10=4)),1,0)</f>
        <v>0</v>
      </c>
      <c r="C67" s="117"/>
      <c r="D67" s="118"/>
      <c r="E67" s="113" t="str">
        <f>VLOOKUP("STK",Sprachindex!$A:$W,$Z$7,FALSE)</f>
        <v>pc.</v>
      </c>
      <c r="F67" s="113"/>
      <c r="G67" s="113"/>
      <c r="H67" s="113"/>
      <c r="I67" s="113">
        <v>594690</v>
      </c>
      <c r="J67" s="113"/>
      <c r="K67" s="114" t="str">
        <f>VLOOKUP("PREFA Sturmsicherungsclip",Sprachindex!$A:$W,$Z$7,FALSE)</f>
        <v>clip tempête</v>
      </c>
      <c r="L67" s="115"/>
      <c r="M67" s="115"/>
      <c r="N67" s="115"/>
      <c r="O67" s="115"/>
      <c r="P67" s="115"/>
      <c r="Q67" s="115"/>
      <c r="R67" s="115"/>
      <c r="S67" s="115"/>
      <c r="T67" s="115"/>
      <c r="U67" s="116"/>
      <c r="V67" s="122" t="str">
        <f>IF(C67&gt;0,ROUNDUP(C67/150,0)*150 &amp; " " &amp; VLOOKUP("STK",Sprachindex!$A:$W,$Z$7,FALSE),"")</f>
        <v/>
      </c>
      <c r="W67" s="123"/>
      <c r="X67" s="208" t="str">
        <f>VLOOKUP("Clip notwendig!",Sprachindex!$A:$W,$Z$7,FALSE) &amp; "                 " &amp; IF(OR(C67&gt;0,B67&gt;0),B67 &amp; " " &amp; VLOOKUP("STK",Sprachindex!$A:$W,$Z$7,FALSE),"")</f>
        <v xml:space="preserve">Clip requis !                 </v>
      </c>
      <c r="Y67" s="209"/>
    </row>
    <row r="68" spans="2:50" ht="24.95" customHeight="1" x14ac:dyDescent="0.25">
      <c r="B68" s="22"/>
      <c r="C68" s="117"/>
      <c r="D68" s="118"/>
      <c r="E68" s="113" t="str">
        <f>VLOOKUP("STK",Sprachindex!$A:$W,$Z$7,FALSE)</f>
        <v>pc.</v>
      </c>
      <c r="F68" s="113"/>
      <c r="G68" s="119"/>
      <c r="H68" s="119"/>
      <c r="I68" s="113">
        <v>340440</v>
      </c>
      <c r="J68" s="113"/>
      <c r="K68" s="114" t="str">
        <f>VLOOKUP("PREFA Montagehilfe Sturmsicherungsclip für Materialstärke 1,0mm",Sprachindex!$A:$W,$Z$7,FALSE)</f>
        <v>cale d’espacement pour clip tempête 1,0 mm</v>
      </c>
      <c r="L68" s="115"/>
      <c r="M68" s="115"/>
      <c r="N68" s="115"/>
      <c r="O68" s="115"/>
      <c r="P68" s="115"/>
      <c r="Q68" s="115"/>
      <c r="R68" s="115"/>
      <c r="S68" s="115"/>
      <c r="T68" s="115"/>
      <c r="U68" s="116"/>
      <c r="V68" s="122" t="str">
        <f>IF(C68&gt;0,C68 &amp; " " &amp; VLOOKUP("STK",Sprachindex!$A:$W,$Z$7,FALSE),"")</f>
        <v/>
      </c>
      <c r="W68" s="123"/>
      <c r="X68" s="120"/>
      <c r="Y68" s="121"/>
      <c r="Z68" s="2"/>
    </row>
    <row r="69" spans="2:50" ht="24.95" customHeight="1" x14ac:dyDescent="0.25">
      <c r="B69" s="22"/>
      <c r="C69" s="117"/>
      <c r="D69" s="118"/>
      <c r="E69" s="113" t="str">
        <f>VLOOKUP("STK",Sprachindex!$A:$W,$Z$7,FALSE)</f>
        <v>pc.</v>
      </c>
      <c r="F69" s="113"/>
      <c r="G69" s="119"/>
      <c r="H69" s="119"/>
      <c r="I69" s="113">
        <v>340441</v>
      </c>
      <c r="J69" s="113"/>
      <c r="K69" s="114" t="str">
        <f>VLOOKUP("PREFA Montagehilfe Sturmsicherungsclip für Materialstärke 1,2mm",Sprachindex!$A:$W,$Z$7,FALSE)</f>
        <v>cale d’espacement pour clip tempête 1,2 mm</v>
      </c>
      <c r="L69" s="115"/>
      <c r="M69" s="115"/>
      <c r="N69" s="115"/>
      <c r="O69" s="115"/>
      <c r="P69" s="115"/>
      <c r="Q69" s="115"/>
      <c r="R69" s="115"/>
      <c r="S69" s="115"/>
      <c r="T69" s="115"/>
      <c r="U69" s="116"/>
      <c r="V69" s="122" t="str">
        <f>IF(C69&gt;0,C69 &amp; " " &amp; VLOOKUP("STK",Sprachindex!$A:$W,$Z$7,FALSE),"")</f>
        <v/>
      </c>
      <c r="W69" s="123"/>
      <c r="X69" s="120"/>
      <c r="Y69" s="121"/>
      <c r="Z69" s="2"/>
      <c r="AC69" s="20" t="s">
        <v>59</v>
      </c>
      <c r="AD69" s="20" t="s">
        <v>58</v>
      </c>
      <c r="AE69" s="20" t="s">
        <v>57</v>
      </c>
      <c r="AF69" s="20" t="s">
        <v>56</v>
      </c>
      <c r="AG69" s="20" t="s">
        <v>55</v>
      </c>
      <c r="AH69" s="20" t="s">
        <v>54</v>
      </c>
      <c r="AI69" s="20" t="s">
        <v>53</v>
      </c>
      <c r="AJ69" s="20" t="s">
        <v>52</v>
      </c>
      <c r="AK69" s="20" t="s">
        <v>51</v>
      </c>
      <c r="AL69" s="20" t="s">
        <v>50</v>
      </c>
      <c r="AM69" s="20" t="s">
        <v>49</v>
      </c>
      <c r="AN69" s="20" t="s">
        <v>48</v>
      </c>
      <c r="AO69" s="20" t="s">
        <v>47</v>
      </c>
      <c r="AP69" s="20" t="s">
        <v>46</v>
      </c>
      <c r="AQ69" s="19" t="s">
        <v>45</v>
      </c>
      <c r="AR69" s="19" t="s">
        <v>44</v>
      </c>
      <c r="AS69" s="19" t="s">
        <v>43</v>
      </c>
      <c r="AT69" s="19" t="s">
        <v>42</v>
      </c>
      <c r="AU69" s="19" t="s">
        <v>41</v>
      </c>
      <c r="AV69" s="19" t="s">
        <v>40</v>
      </c>
      <c r="AW69" s="19" t="s">
        <v>39</v>
      </c>
      <c r="AX69" s="16" t="s">
        <v>38</v>
      </c>
    </row>
    <row r="70" spans="2:50" ht="24.95" customHeight="1" x14ac:dyDescent="0.25">
      <c r="B70" s="21">
        <v>1</v>
      </c>
      <c r="C70" s="175"/>
      <c r="D70" s="176"/>
      <c r="E70" s="113" t="str">
        <f>VLOOKUP("STK",Sprachindex!$A:$W,$Z$7,FALSE)</f>
        <v>pc.</v>
      </c>
      <c r="F70" s="113"/>
      <c r="G70" s="212"/>
      <c r="H70" s="212"/>
      <c r="I70" s="113" t="e">
        <f>AX70</f>
        <v>#VALUE!</v>
      </c>
      <c r="J70" s="113"/>
      <c r="K70" s="114" t="str">
        <f>VLOOKUP("PREFA Fuge.138",Sprachindex!$A:$W,$Z$7,FALSE)</f>
        <v>jointure.138</v>
      </c>
      <c r="L70" s="115"/>
      <c r="M70" s="115"/>
      <c r="N70" s="115"/>
      <c r="O70" s="115"/>
      <c r="P70" s="115"/>
      <c r="Q70" s="115"/>
      <c r="R70" s="115"/>
      <c r="S70" s="115"/>
      <c r="T70" s="115"/>
      <c r="U70" s="116"/>
      <c r="V70" s="210" t="str">
        <f>IF(C70&gt;0,C70 &amp; " " &amp; VLOOKUP("STK",Sprachindex!$A:$W,$Z$7,FALSE),"")</f>
        <v/>
      </c>
      <c r="W70" s="211"/>
      <c r="X70" s="120"/>
      <c r="Y70" s="121"/>
      <c r="Z70" s="2"/>
      <c r="AC70" s="18" t="s">
        <v>150</v>
      </c>
      <c r="AD70" s="18" t="s">
        <v>149</v>
      </c>
      <c r="AE70" s="18" t="s">
        <v>148</v>
      </c>
      <c r="AF70" s="18" t="s">
        <v>147</v>
      </c>
      <c r="AG70" s="18" t="s">
        <v>146</v>
      </c>
      <c r="AH70" s="18" t="s">
        <v>145</v>
      </c>
      <c r="AI70" s="18" t="s">
        <v>144</v>
      </c>
      <c r="AJ70" s="18" t="s">
        <v>143</v>
      </c>
      <c r="AK70" s="18" t="s">
        <v>142</v>
      </c>
      <c r="AL70" s="18" t="s">
        <v>141</v>
      </c>
      <c r="AM70" s="18" t="s">
        <v>140</v>
      </c>
      <c r="AN70" s="18" t="s">
        <v>139</v>
      </c>
      <c r="AO70" s="18"/>
      <c r="AP70" s="18"/>
      <c r="AQ70" s="17" t="s">
        <v>138</v>
      </c>
      <c r="AR70" s="17" t="s">
        <v>137</v>
      </c>
      <c r="AS70" s="17"/>
      <c r="AT70" s="17" t="s">
        <v>136</v>
      </c>
      <c r="AU70" s="17" t="s">
        <v>135</v>
      </c>
      <c r="AV70" s="17"/>
      <c r="AW70" s="17" t="s">
        <v>134</v>
      </c>
      <c r="AX70" s="16" t="e">
        <f>VLOOKUP(AC70,AC70:AW70,$Z$20,FALSE)</f>
        <v>#VALUE!</v>
      </c>
    </row>
    <row r="71" spans="2:50" ht="24.95" customHeight="1" x14ac:dyDescent="0.25">
      <c r="B71" s="21"/>
      <c r="C71" s="117"/>
      <c r="D71" s="118"/>
      <c r="E71" s="113" t="str">
        <f>VLOOKUP("STK",Sprachindex!$A:$W,$Z$7,FALSE)</f>
        <v>pc.</v>
      </c>
      <c r="F71" s="113"/>
      <c r="G71" s="113"/>
      <c r="H71" s="113"/>
      <c r="I71" s="113" t="e">
        <f>AX71</f>
        <v>#VALUE!</v>
      </c>
      <c r="J71" s="113"/>
      <c r="K71" s="114" t="str">
        <f>VLOOKUP("PREFA Fuge.200",Sprachindex!$A:$W,$Z$7,FALSE)</f>
        <v>jointure.200</v>
      </c>
      <c r="L71" s="115"/>
      <c r="M71" s="115"/>
      <c r="N71" s="115"/>
      <c r="O71" s="115"/>
      <c r="P71" s="115"/>
      <c r="Q71" s="115"/>
      <c r="R71" s="115"/>
      <c r="S71" s="115"/>
      <c r="T71" s="115"/>
      <c r="U71" s="116"/>
      <c r="V71" s="210" t="str">
        <f>IF(C71&gt;0,C71 &amp; " " &amp; VLOOKUP("STK",Sprachindex!$A:$W,$Z$7,FALSE),"")</f>
        <v/>
      </c>
      <c r="W71" s="211"/>
      <c r="X71" s="120"/>
      <c r="Y71" s="121"/>
      <c r="Z71" s="2"/>
      <c r="AC71" s="18" t="s">
        <v>133</v>
      </c>
      <c r="AD71" s="18" t="s">
        <v>132</v>
      </c>
      <c r="AE71" s="18" t="s">
        <v>131</v>
      </c>
      <c r="AF71" s="18" t="s">
        <v>130</v>
      </c>
      <c r="AG71" s="18" t="s">
        <v>129</v>
      </c>
      <c r="AH71" s="18" t="s">
        <v>128</v>
      </c>
      <c r="AI71" s="18" t="s">
        <v>127</v>
      </c>
      <c r="AJ71" s="18" t="s">
        <v>126</v>
      </c>
      <c r="AK71" s="18" t="s">
        <v>126</v>
      </c>
      <c r="AL71" s="18" t="s">
        <v>125</v>
      </c>
      <c r="AM71" s="18" t="s">
        <v>124</v>
      </c>
      <c r="AN71" s="18" t="s">
        <v>123</v>
      </c>
      <c r="AO71" s="18" t="s">
        <v>122</v>
      </c>
      <c r="AP71" s="18" t="s">
        <v>121</v>
      </c>
      <c r="AQ71" s="17" t="s">
        <v>120</v>
      </c>
      <c r="AR71" s="17" t="s">
        <v>119</v>
      </c>
      <c r="AS71" s="17" t="s">
        <v>118</v>
      </c>
      <c r="AT71" s="17" t="s">
        <v>117</v>
      </c>
      <c r="AU71" s="17" t="s">
        <v>116</v>
      </c>
      <c r="AV71" s="17" t="s">
        <v>115</v>
      </c>
      <c r="AW71" s="17" t="s">
        <v>114</v>
      </c>
      <c r="AX71" s="16" t="e">
        <f>VLOOKUP(AC71,AC71:AW71,$Z$20,FALSE)</f>
        <v>#VALUE!</v>
      </c>
    </row>
    <row r="72" spans="2:50" ht="24.95" customHeight="1" x14ac:dyDescent="0.25">
      <c r="B72" s="21"/>
      <c r="C72" s="117"/>
      <c r="D72" s="118"/>
      <c r="E72" s="113" t="str">
        <f>VLOOKUP("STK",Sprachindex!$A:$W,$Z$7,FALSE)</f>
        <v>pc.</v>
      </c>
      <c r="F72" s="113"/>
      <c r="G72" s="113"/>
      <c r="H72" s="113"/>
      <c r="I72" s="113" t="e">
        <f>AX72</f>
        <v>#VALUE!</v>
      </c>
      <c r="J72" s="113"/>
      <c r="K72" s="114" t="str">
        <f>VLOOKUP("PREFA Fuge.300",Sprachindex!$A:$W,$Z$7,FALSE)</f>
        <v>jointure.300</v>
      </c>
      <c r="L72" s="115"/>
      <c r="M72" s="115"/>
      <c r="N72" s="115"/>
      <c r="O72" s="115"/>
      <c r="P72" s="115"/>
      <c r="Q72" s="115"/>
      <c r="R72" s="115"/>
      <c r="S72" s="115"/>
      <c r="T72" s="115"/>
      <c r="U72" s="116"/>
      <c r="V72" s="210" t="str">
        <f>IF(C72&gt;0,C72 &amp; " " &amp; VLOOKUP("STK",Sprachindex!$A:$W,$Z$7,FALSE),"")</f>
        <v/>
      </c>
      <c r="W72" s="211"/>
      <c r="X72" s="120"/>
      <c r="Y72" s="121"/>
      <c r="Z72" s="2"/>
      <c r="AC72" s="18" t="s">
        <v>113</v>
      </c>
      <c r="AD72" s="18" t="s">
        <v>112</v>
      </c>
      <c r="AE72" s="18" t="s">
        <v>111</v>
      </c>
      <c r="AF72" s="18" t="s">
        <v>110</v>
      </c>
      <c r="AG72" s="18" t="s">
        <v>109</v>
      </c>
      <c r="AH72" s="18" t="s">
        <v>108</v>
      </c>
      <c r="AI72" s="18" t="s">
        <v>107</v>
      </c>
      <c r="AJ72" s="18" t="s">
        <v>106</v>
      </c>
      <c r="AK72" s="18" t="s">
        <v>105</v>
      </c>
      <c r="AL72" s="18" t="s">
        <v>104</v>
      </c>
      <c r="AM72" s="18" t="s">
        <v>104</v>
      </c>
      <c r="AN72" s="18" t="s">
        <v>103</v>
      </c>
      <c r="AO72" s="18" t="s">
        <v>102</v>
      </c>
      <c r="AP72" s="18" t="s">
        <v>101</v>
      </c>
      <c r="AQ72" s="17"/>
      <c r="AR72" s="17"/>
      <c r="AS72" s="17"/>
      <c r="AT72" s="17" t="s">
        <v>100</v>
      </c>
      <c r="AU72" s="17" t="s">
        <v>99</v>
      </c>
      <c r="AV72" s="17" t="s">
        <v>98</v>
      </c>
      <c r="AW72" s="17" t="s">
        <v>97</v>
      </c>
      <c r="AX72" s="16" t="e">
        <f>VLOOKUP(AC72,AC72:AW72,$Z$20,FALSE)</f>
        <v>#VALUE!</v>
      </c>
    </row>
    <row r="73" spans="2:50" ht="24.95" customHeight="1" x14ac:dyDescent="0.25">
      <c r="B73" s="21"/>
      <c r="C73" s="117"/>
      <c r="D73" s="118"/>
      <c r="E73" s="113" t="str">
        <f>VLOOKUP("STK",Sprachindex!$A:$W,$Z$7,FALSE)</f>
        <v>pc.</v>
      </c>
      <c r="F73" s="113"/>
      <c r="G73" s="113"/>
      <c r="H73" s="113"/>
      <c r="I73" s="113" t="e">
        <f>AX73</f>
        <v>#VALUE!</v>
      </c>
      <c r="J73" s="113"/>
      <c r="K73" s="114" t="str">
        <f>VLOOKUP("PREFA Fuge.400",Sprachindex!$A:$W,$Z$7,FALSE)</f>
        <v>jointure.400</v>
      </c>
      <c r="L73" s="115"/>
      <c r="M73" s="115"/>
      <c r="N73" s="115"/>
      <c r="O73" s="115"/>
      <c r="P73" s="115"/>
      <c r="Q73" s="115"/>
      <c r="R73" s="115"/>
      <c r="S73" s="115"/>
      <c r="T73" s="115"/>
      <c r="U73" s="116"/>
      <c r="V73" s="210" t="str">
        <f>IF(C73&gt;0,C73 &amp; " " &amp; VLOOKUP("STK",Sprachindex!$A:$W,$Z$7,FALSE),"")</f>
        <v/>
      </c>
      <c r="W73" s="211"/>
      <c r="X73" s="120"/>
      <c r="Y73" s="121"/>
      <c r="Z73" s="2"/>
      <c r="AC73" s="18" t="s">
        <v>96</v>
      </c>
      <c r="AD73" s="18" t="s">
        <v>95</v>
      </c>
      <c r="AE73" s="18" t="s">
        <v>94</v>
      </c>
      <c r="AF73" s="18" t="s">
        <v>93</v>
      </c>
      <c r="AG73" s="18" t="s">
        <v>92</v>
      </c>
      <c r="AH73" s="18" t="s">
        <v>91</v>
      </c>
      <c r="AI73" s="18" t="s">
        <v>90</v>
      </c>
      <c r="AJ73" s="18" t="s">
        <v>89</v>
      </c>
      <c r="AK73" s="18" t="s">
        <v>88</v>
      </c>
      <c r="AL73" s="18" t="s">
        <v>87</v>
      </c>
      <c r="AM73" s="18" t="s">
        <v>86</v>
      </c>
      <c r="AN73" s="18" t="s">
        <v>85</v>
      </c>
      <c r="AO73" s="18" t="s">
        <v>84</v>
      </c>
      <c r="AP73" s="18" t="s">
        <v>83</v>
      </c>
      <c r="AQ73" s="17"/>
      <c r="AR73" s="17"/>
      <c r="AS73" s="17"/>
      <c r="AT73" s="17" t="s">
        <v>82</v>
      </c>
      <c r="AU73" s="17" t="s">
        <v>81</v>
      </c>
      <c r="AV73" s="17" t="s">
        <v>80</v>
      </c>
      <c r="AW73" s="17" t="s">
        <v>79</v>
      </c>
      <c r="AX73" s="16" t="e">
        <f>VLOOKUP(AC73,AC73:AW73,$Z$20,FALSE)</f>
        <v>#VALUE!</v>
      </c>
    </row>
    <row r="74" spans="2:50" ht="24.95" customHeight="1" x14ac:dyDescent="0.25">
      <c r="C74" s="117"/>
      <c r="D74" s="118"/>
      <c r="E74" s="113" t="str">
        <f>VLOOKUP("STK",Sprachindex!$A:$W,$Z$7,FALSE)</f>
        <v>pc.</v>
      </c>
      <c r="F74" s="113"/>
      <c r="G74" s="113"/>
      <c r="H74" s="113"/>
      <c r="I74" s="113">
        <v>533153</v>
      </c>
      <c r="J74" s="113"/>
      <c r="K74" s="114" t="str">
        <f>VLOOKUP("Befestigungsmittel Siding - Aluminium UK 4,8 x 19 mm",Sprachindex!$A:$W,$Z$7,FALSE)</f>
        <v>Matériel de fixation pour siding – sous-construction aluminium 4,8 × 19 mm</v>
      </c>
      <c r="L74" s="115"/>
      <c r="M74" s="115"/>
      <c r="N74" s="115"/>
      <c r="O74" s="115"/>
      <c r="P74" s="115"/>
      <c r="Q74" s="115"/>
      <c r="R74" s="115"/>
      <c r="S74" s="115"/>
      <c r="T74" s="115"/>
      <c r="U74" s="116"/>
      <c r="V74" s="122" t="str">
        <f>IF(C74&gt;0,ROUNDUP(C74/250,0)*250 &amp; " " &amp; VLOOKUP("STK",Sprachindex!$A:$W,$Z$7,FALSE),"")</f>
        <v/>
      </c>
      <c r="W74" s="123"/>
      <c r="X74" s="120"/>
      <c r="Y74" s="121"/>
      <c r="Z74" s="2"/>
    </row>
    <row r="75" spans="2:50" ht="24.95" customHeight="1" x14ac:dyDescent="0.25">
      <c r="C75" s="117"/>
      <c r="D75" s="118"/>
      <c r="E75" s="113" t="str">
        <f>VLOOKUP("STK",Sprachindex!$A:$W,$Z$7,FALSE)</f>
        <v>pc.</v>
      </c>
      <c r="F75" s="113"/>
      <c r="G75" s="113"/>
      <c r="H75" s="113"/>
      <c r="I75" s="113">
        <v>533154</v>
      </c>
      <c r="J75" s="113"/>
      <c r="K75" s="114" t="str">
        <f>VLOOKUP("Befestigungsmittel Siding - Holz UK 4,9 x 35 mm",Sprachindex!$A:$W,$Z$7,FALSE)</f>
        <v>Matériel de fixation pour siding – sous-construction bois 4,9 × 35 mm</v>
      </c>
      <c r="L75" s="115"/>
      <c r="M75" s="115"/>
      <c r="N75" s="115"/>
      <c r="O75" s="115"/>
      <c r="P75" s="115"/>
      <c r="Q75" s="115"/>
      <c r="R75" s="115"/>
      <c r="S75" s="115"/>
      <c r="T75" s="115"/>
      <c r="U75" s="116"/>
      <c r="V75" s="122" t="str">
        <f>IF(C75&gt;0,ROUNDUP(C75/250,0)*250 &amp; " " &amp; VLOOKUP("STK",Sprachindex!$A:$W,$Z$7,FALSE),"")</f>
        <v/>
      </c>
      <c r="W75" s="123"/>
      <c r="X75" s="120"/>
      <c r="Y75" s="121"/>
      <c r="Z75" s="2"/>
    </row>
    <row r="76" spans="2:50" ht="24.95" customHeight="1" x14ac:dyDescent="0.25">
      <c r="C76" s="117"/>
      <c r="D76" s="118"/>
      <c r="E76" s="113" t="str">
        <f>VLOOKUP("STK",Sprachindex!$A:$W,$Z$7,FALSE)</f>
        <v>pc.</v>
      </c>
      <c r="F76" s="113"/>
      <c r="G76" s="113"/>
      <c r="H76" s="113"/>
      <c r="I76" s="113">
        <v>560009</v>
      </c>
      <c r="J76" s="113"/>
      <c r="K76" s="114" t="str">
        <f>VLOOKUP("PREFA Stoßverbinder L=150mm",Sprachindex!$A:$W,$Z$7,FALSE)</f>
        <v>profil de liaison ; L = 150 mm</v>
      </c>
      <c r="L76" s="115"/>
      <c r="M76" s="115"/>
      <c r="N76" s="115"/>
      <c r="O76" s="115"/>
      <c r="P76" s="115"/>
      <c r="Q76" s="115"/>
      <c r="R76" s="115"/>
      <c r="S76" s="115"/>
      <c r="T76" s="115"/>
      <c r="U76" s="116"/>
      <c r="V76" s="122" t="str">
        <f>IF(C76&gt;0,C76&amp;" "&amp;VLOOKUP("STK",Sprachindex!$A:$W,$Z$7,FALSE),"")</f>
        <v/>
      </c>
      <c r="W76" s="123"/>
      <c r="X76" s="120"/>
      <c r="Y76" s="121"/>
      <c r="Z76" s="2"/>
    </row>
    <row r="77" spans="2:50" ht="24.95" customHeight="1" x14ac:dyDescent="0.25">
      <c r="C77" s="117"/>
      <c r="D77" s="118"/>
      <c r="E77" s="113" t="str">
        <f>VLOOKUP("lfm",Sprachindex!$A:$W,$Z$7,FALSE)</f>
        <v>ml</v>
      </c>
      <c r="F77" s="113"/>
      <c r="G77" s="113"/>
      <c r="H77" s="113"/>
      <c r="I77" s="113">
        <v>594060</v>
      </c>
      <c r="J77" s="113"/>
      <c r="K77" s="114" t="str">
        <f>VLOOKUP("PREFA Wetterschenkel L = 2.500 mm",Sprachindex!$A:$W,$Z$7,FALSE)</f>
        <v>renvoi d’eau ; L = 2 500 mm</v>
      </c>
      <c r="L77" s="115"/>
      <c r="M77" s="115"/>
      <c r="N77" s="115"/>
      <c r="O77" s="115"/>
      <c r="P77" s="115"/>
      <c r="Q77" s="115"/>
      <c r="R77" s="115"/>
      <c r="S77" s="115"/>
      <c r="T77" s="115"/>
      <c r="U77" s="116"/>
      <c r="V77" s="122" t="str">
        <f>IF(C77&gt;0,ROUNDUP(C77/2.5,0)*2.5 &amp; " " &amp; VLOOKUP("lfm",Sprachindex!$A:$W,$Z$7,FALSE),"")</f>
        <v/>
      </c>
      <c r="W77" s="123"/>
      <c r="X77" s="120"/>
      <c r="Y77" s="121"/>
      <c r="Z77" s="2"/>
    </row>
    <row r="78" spans="2:50" ht="24.95" customHeight="1" x14ac:dyDescent="0.25">
      <c r="C78" s="117"/>
      <c r="D78" s="118"/>
      <c r="E78" s="113" t="str">
        <f>VLOOKUP("lfm",Sprachindex!$A:$W,$Z$7,FALSE)</f>
        <v>ml</v>
      </c>
      <c r="F78" s="113"/>
      <c r="G78" s="113"/>
      <c r="H78" s="113"/>
      <c r="I78" s="113" t="e">
        <f>AX78</f>
        <v>#VALUE!</v>
      </c>
      <c r="J78" s="113"/>
      <c r="K78" s="114" t="str">
        <f>VLOOKUP("PREFA Schnittlochblende L = 2.500 mm",Sprachindex!$A:$W,$Z$7,FALSE)</f>
        <v>cache de départ perforé ; L = 2 500 mm</v>
      </c>
      <c r="L78" s="115"/>
      <c r="M78" s="115"/>
      <c r="N78" s="115"/>
      <c r="O78" s="115"/>
      <c r="P78" s="115"/>
      <c r="Q78" s="115"/>
      <c r="R78" s="115"/>
      <c r="S78" s="115"/>
      <c r="T78" s="115"/>
      <c r="U78" s="116"/>
      <c r="V78" s="122" t="str">
        <f>IF(C78&gt;0,ROUNDUP(C78/2.5,0)*2.5 &amp; " " &amp; VLOOKUP("lfm",Sprachindex!$A:$W,$Z$7,FALSE),"")</f>
        <v/>
      </c>
      <c r="W78" s="123"/>
      <c r="X78" s="120"/>
      <c r="Y78" s="121"/>
      <c r="AC78" s="18" t="s">
        <v>78</v>
      </c>
      <c r="AD78" s="18" t="s">
        <v>77</v>
      </c>
      <c r="AE78" s="18" t="s">
        <v>76</v>
      </c>
      <c r="AF78" s="18" t="s">
        <v>75</v>
      </c>
      <c r="AG78" s="18" t="s">
        <v>74</v>
      </c>
      <c r="AH78" s="18"/>
      <c r="AI78" s="18" t="s">
        <v>73</v>
      </c>
      <c r="AJ78" s="18" t="s">
        <v>72</v>
      </c>
      <c r="AK78" s="18" t="s">
        <v>71</v>
      </c>
      <c r="AL78" s="18" t="s">
        <v>70</v>
      </c>
      <c r="AM78" s="18" t="s">
        <v>69</v>
      </c>
      <c r="AN78" s="18" t="s">
        <v>68</v>
      </c>
      <c r="AO78" s="18" t="s">
        <v>67</v>
      </c>
      <c r="AP78" s="18" t="s">
        <v>66</v>
      </c>
      <c r="AQ78" s="17" t="s">
        <v>65</v>
      </c>
      <c r="AR78" s="17" t="s">
        <v>64</v>
      </c>
      <c r="AS78" s="17" t="s">
        <v>63</v>
      </c>
      <c r="AT78" s="17" t="s">
        <v>62</v>
      </c>
      <c r="AU78" s="17"/>
      <c r="AV78" s="17" t="s">
        <v>61</v>
      </c>
      <c r="AW78" s="17" t="s">
        <v>60</v>
      </c>
      <c r="AX78" s="16" t="e">
        <f>VLOOKUP(AC78,AC78:AW78,$Z$20,FALSE)</f>
        <v>#VALUE!</v>
      </c>
    </row>
    <row r="79" spans="2:50" ht="24.95" customHeight="1" x14ac:dyDescent="0.25">
      <c r="C79" s="117"/>
      <c r="D79" s="118"/>
      <c r="E79" s="113" t="str">
        <f>VLOOKUP("lfm",Sprachindex!$A:$W,$Z$7,FALSE)</f>
        <v>ml</v>
      </c>
      <c r="F79" s="113"/>
      <c r="G79" s="113"/>
      <c r="H79" s="113"/>
      <c r="I79" s="113">
        <v>594060</v>
      </c>
      <c r="J79" s="113"/>
      <c r="K79" s="114" t="str">
        <f>VLOOKUP("PREFA Taschenprofil L = 2.500 mm gekantet",Sprachindex!$A:$W,$Z$7,FALSE)</f>
        <v>profil replié PREFA, L = 2 500 mm</v>
      </c>
      <c r="L79" s="115"/>
      <c r="M79" s="115"/>
      <c r="N79" s="115"/>
      <c r="O79" s="115"/>
      <c r="P79" s="115"/>
      <c r="Q79" s="115"/>
      <c r="R79" s="115"/>
      <c r="S79" s="115"/>
      <c r="T79" s="115"/>
      <c r="U79" s="116"/>
      <c r="V79" s="122" t="str">
        <f>IF(C79&gt;0,ROUNDUP(C79/2.5,0)*2.5 &amp; " " &amp; VLOOKUP("lfm",Sprachindex!$A:$W,$Z$7,FALSE),"")</f>
        <v/>
      </c>
      <c r="W79" s="123"/>
      <c r="X79" s="120"/>
      <c r="Y79" s="121"/>
    </row>
    <row r="80" spans="2:50" ht="24.95" customHeight="1" x14ac:dyDescent="0.25">
      <c r="C80" s="117"/>
      <c r="D80" s="118"/>
      <c r="E80" s="113" t="str">
        <f>VLOOKUP("lfm",Sprachindex!$A:$W,$Z$7,FALSE)</f>
        <v>ml</v>
      </c>
      <c r="F80" s="113"/>
      <c r="G80" s="113"/>
      <c r="H80" s="113"/>
      <c r="I80" s="113">
        <v>594060</v>
      </c>
      <c r="J80" s="113"/>
      <c r="K80" s="114" t="str">
        <f>VLOOKUP("PREFA Taschenprofil L = 2.500 mm (Haltewinkel)",Sprachindex!$A:$W,$Z$7,FALSE)</f>
        <v>Profil d’accrochage PREFA L = 2 500 mm</v>
      </c>
      <c r="L80" s="115"/>
      <c r="M80" s="115"/>
      <c r="N80" s="115"/>
      <c r="O80" s="115"/>
      <c r="P80" s="115"/>
      <c r="Q80" s="115"/>
      <c r="R80" s="115"/>
      <c r="S80" s="115"/>
      <c r="T80" s="115"/>
      <c r="U80" s="116"/>
      <c r="V80" s="122" t="str">
        <f>IF(C80&gt;0,ROUNDUP(C80/2.5,0)*2.5 &amp; " " &amp; VLOOKUP("lfm",Sprachindex!$A:$W,$Z$7,FALSE),"")</f>
        <v/>
      </c>
      <c r="W80" s="123"/>
      <c r="X80" s="120"/>
      <c r="Y80" s="121"/>
    </row>
    <row r="81" spans="3:50" ht="24.95" customHeight="1" x14ac:dyDescent="0.25">
      <c r="C81" s="117"/>
      <c r="D81" s="118"/>
      <c r="E81" s="113" t="str">
        <f>VLOOKUP("lfm",Sprachindex!$A:$W,$Z$7,FALSE)</f>
        <v>ml</v>
      </c>
      <c r="F81" s="113"/>
      <c r="G81" s="113"/>
      <c r="H81" s="113"/>
      <c r="I81" s="113">
        <v>594060</v>
      </c>
      <c r="J81" s="113"/>
      <c r="K81" s="114" t="str">
        <f>VLOOKUP("PREFA Steckleiste L = 2.000 mm",Sprachindex!$A:$W,$Z$7,FALSE)</f>
        <v>profil de jonction ; L = 2 000 mm</v>
      </c>
      <c r="L81" s="115"/>
      <c r="M81" s="115"/>
      <c r="N81" s="115"/>
      <c r="O81" s="115"/>
      <c r="P81" s="115"/>
      <c r="Q81" s="115"/>
      <c r="R81" s="115"/>
      <c r="S81" s="115"/>
      <c r="T81" s="115"/>
      <c r="U81" s="116"/>
      <c r="V81" s="122" t="str">
        <f>IF(C81&gt;0,ROUNDUP(C81/2,0)*2 &amp; " " &amp; VLOOKUP("lfm",Sprachindex!$A:$W,$Z$7,FALSE),"")</f>
        <v/>
      </c>
      <c r="W81" s="123"/>
      <c r="X81" s="120"/>
      <c r="Y81" s="121"/>
    </row>
    <row r="82" spans="3:50" ht="24.95" customHeight="1" x14ac:dyDescent="0.25">
      <c r="C82" s="117"/>
      <c r="D82" s="118"/>
      <c r="E82" s="113" t="str">
        <f>VLOOKUP("lfm",Sprachindex!$A:$W,$Z$7,FALSE)</f>
        <v>ml</v>
      </c>
      <c r="F82" s="113"/>
      <c r="G82" s="113"/>
      <c r="H82" s="113"/>
      <c r="I82" s="113">
        <v>560020</v>
      </c>
      <c r="J82" s="113"/>
      <c r="K82" s="114" t="str">
        <f>VLOOKUP("PREFA Startprofil L = 2.000 mm P.10 anthrazit",Sprachindex!$A:$W,$Z$7,FALSE)</f>
        <v>profil de départ ; L = 2 000 mm P.10 anthracite</v>
      </c>
      <c r="L82" s="115"/>
      <c r="M82" s="115"/>
      <c r="N82" s="115"/>
      <c r="O82" s="115"/>
      <c r="P82" s="115"/>
      <c r="Q82" s="115"/>
      <c r="R82" s="115"/>
      <c r="S82" s="115"/>
      <c r="T82" s="115"/>
      <c r="U82" s="116"/>
      <c r="V82" s="122" t="str">
        <f>IF(C82&gt;0,ROUNDUP(C82/2,0)*2 &amp; " " &amp; VLOOKUP("lfm",Sprachindex!$A:$W,$Z$7,FALSE),"")</f>
        <v/>
      </c>
      <c r="W82" s="123"/>
      <c r="X82" s="120"/>
      <c r="Y82" s="121"/>
    </row>
    <row r="83" spans="3:50" ht="24.95" customHeight="1" x14ac:dyDescent="0.25">
      <c r="C83" s="117"/>
      <c r="D83" s="118"/>
      <c r="E83" s="113" t="str">
        <f>VLOOKUP("lfm",Sprachindex!$A:$W,$Z$7,FALSE)</f>
        <v>ml</v>
      </c>
      <c r="F83" s="113"/>
      <c r="G83" s="113"/>
      <c r="H83" s="113"/>
      <c r="I83" s="113">
        <v>594060</v>
      </c>
      <c r="J83" s="113"/>
      <c r="K83" s="114" t="str">
        <f>VLOOKUP("PREFA Startprofil L = 2.000 mm P.10 Sonderfarbe",Sprachindex!$A:$W,$Z$7,FALSE)</f>
        <v>profil de départ; L = 2 000 mm P.10 autre teinte“</v>
      </c>
      <c r="L83" s="115"/>
      <c r="M83" s="115"/>
      <c r="N83" s="115"/>
      <c r="O83" s="115"/>
      <c r="P83" s="115"/>
      <c r="Q83" s="115"/>
      <c r="R83" s="115"/>
      <c r="S83" s="115"/>
      <c r="T83" s="115"/>
      <c r="U83" s="116"/>
      <c r="V83" s="122" t="str">
        <f>IF(C83&gt;0,ROUNDUP(C83/2,0)*2 &amp; " " &amp; VLOOKUP("lfm",Sprachindex!$A:$W,$Z$7,FALSE),"")</f>
        <v/>
      </c>
      <c r="W83" s="123"/>
      <c r="X83" s="120"/>
      <c r="Y83" s="121"/>
    </row>
    <row r="84" spans="3:50" ht="24.95" customHeight="1" x14ac:dyDescent="0.25">
      <c r="C84" s="117"/>
      <c r="D84" s="118"/>
      <c r="E84" s="113" t="str">
        <f>VLOOKUP("lfm",Sprachindex!$A:$W,$Z$7,FALSE)</f>
        <v>ml</v>
      </c>
      <c r="F84" s="113"/>
      <c r="G84" s="113"/>
      <c r="H84" s="113"/>
      <c r="I84" s="113">
        <v>594060</v>
      </c>
      <c r="J84" s="113"/>
      <c r="K84" s="114" t="str">
        <f>VLOOKUP("PREFA Eckwinkel Außen L = 2.500 mm",Sprachindex!$A:$W,$Z$7,FALSE)</f>
        <v>équerre d’angle sortant ; L = 2 500 mm</v>
      </c>
      <c r="L84" s="115"/>
      <c r="M84" s="115"/>
      <c r="N84" s="115"/>
      <c r="O84" s="115"/>
      <c r="P84" s="115"/>
      <c r="Q84" s="115"/>
      <c r="R84" s="115"/>
      <c r="S84" s="115"/>
      <c r="T84" s="115"/>
      <c r="U84" s="116"/>
      <c r="V84" s="122" t="str">
        <f>IF(C84&gt;0,ROUNDUP(C84/2.5,0)*2.5 &amp; " " &amp; VLOOKUP("lfm",Sprachindex!$A:$W,$Z$7,FALSE),"")</f>
        <v/>
      </c>
      <c r="W84" s="123"/>
      <c r="X84" s="120"/>
      <c r="Y84" s="121"/>
    </row>
    <row r="85" spans="3:50" ht="24.95" customHeight="1" x14ac:dyDescent="0.25">
      <c r="C85" s="117"/>
      <c r="D85" s="118"/>
      <c r="E85" s="113" t="str">
        <f>VLOOKUP("lfm",Sprachindex!$A:$W,$Z$7,FALSE)</f>
        <v>ml</v>
      </c>
      <c r="F85" s="113"/>
      <c r="G85" s="113"/>
      <c r="H85" s="113"/>
      <c r="I85" s="113">
        <v>594060</v>
      </c>
      <c r="J85" s="113"/>
      <c r="K85" s="114" t="str">
        <f>VLOOKUP("PREFA Leibungsblech L = 2.500 mm",Sprachindex!$A:$W,$Z$7,FALSE)</f>
        <v>profil d’embrasure ; L = 2 500 mm</v>
      </c>
      <c r="L85" s="115"/>
      <c r="M85" s="115"/>
      <c r="N85" s="115"/>
      <c r="O85" s="115"/>
      <c r="P85" s="115"/>
      <c r="Q85" s="115"/>
      <c r="R85" s="115"/>
      <c r="S85" s="115"/>
      <c r="T85" s="115"/>
      <c r="U85" s="116"/>
      <c r="V85" s="122" t="str">
        <f>IF(C85&gt;0,ROUNDUP(C85/2.5,0)*2.5 &amp; " " &amp; VLOOKUP("lfm",Sprachindex!$A:$W,$Z$7,FALSE),"")</f>
        <v/>
      </c>
      <c r="W85" s="123"/>
      <c r="X85" s="120"/>
      <c r="Y85" s="121"/>
    </row>
    <row r="86" spans="3:50" ht="24.95" customHeight="1" x14ac:dyDescent="0.25">
      <c r="C86" s="117"/>
      <c r="D86" s="118"/>
      <c r="E86" s="113" t="str">
        <f>VLOOKUP("lfm",Sprachindex!$A:$W,$Z$7,FALSE)</f>
        <v>ml</v>
      </c>
      <c r="F86" s="113"/>
      <c r="G86" s="113"/>
      <c r="H86" s="113"/>
      <c r="I86" s="113">
        <v>594060</v>
      </c>
      <c r="J86" s="113"/>
      <c r="K86" s="114" t="str">
        <f>VLOOKUP("PREFA Abschlussprofil L = 2.500 mm",Sprachindex!$A:$W,$Z$7,FALSE)</f>
        <v>profil de fin ; L = 2 500 mm</v>
      </c>
      <c r="L86" s="115"/>
      <c r="M86" s="115"/>
      <c r="N86" s="115"/>
      <c r="O86" s="115"/>
      <c r="P86" s="115"/>
      <c r="Q86" s="115"/>
      <c r="R86" s="115"/>
      <c r="S86" s="115"/>
      <c r="T86" s="115"/>
      <c r="U86" s="116"/>
      <c r="V86" s="122" t="str">
        <f>IF(C86&gt;0,ROUNDUP(C86/2.5,0)*2.5 &amp; " " &amp; VLOOKUP("lfm",Sprachindex!$A:$W,$Z$7,FALSE),"")</f>
        <v/>
      </c>
      <c r="W86" s="123"/>
      <c r="X86" s="120"/>
      <c r="Y86" s="121"/>
    </row>
    <row r="87" spans="3:50" ht="24.95" customHeight="1" x14ac:dyDescent="0.25">
      <c r="C87" s="117"/>
      <c r="D87" s="118"/>
      <c r="E87" s="113" t="str">
        <f>VLOOKUP("lfm",Sprachindex!$A:$W,$Z$7,FALSE)</f>
        <v>ml</v>
      </c>
      <c r="F87" s="113"/>
      <c r="G87" s="113"/>
      <c r="H87" s="113"/>
      <c r="I87" s="113">
        <v>594060</v>
      </c>
      <c r="J87" s="113"/>
      <c r="K87" s="114" t="str">
        <f>VLOOKUP("PREFA Aussenecke 2-teilig L = 2.000 mm",Sprachindex!$A:$W,$Z$7,FALSE)</f>
        <v>profil d’angle sortant en croix ; L=2 000 mm</v>
      </c>
      <c r="L87" s="115"/>
      <c r="M87" s="115"/>
      <c r="N87" s="115"/>
      <c r="O87" s="115"/>
      <c r="P87" s="115"/>
      <c r="Q87" s="115"/>
      <c r="R87" s="115"/>
      <c r="S87" s="115"/>
      <c r="T87" s="115"/>
      <c r="U87" s="116"/>
      <c r="V87" s="122" t="str">
        <f>IF(C87&gt;0,ROUNDUP(C87/2,0)*2 &amp; " " &amp; VLOOKUP("lfm",Sprachindex!$A:$W,$Z$7,FALSE),"")</f>
        <v/>
      </c>
      <c r="W87" s="123"/>
      <c r="X87" s="120"/>
      <c r="Y87" s="121"/>
    </row>
    <row r="88" spans="3:50" ht="24.95" customHeight="1" x14ac:dyDescent="0.25">
      <c r="C88" s="117"/>
      <c r="D88" s="118"/>
      <c r="E88" s="113" t="str">
        <f>VLOOKUP("lfm",Sprachindex!$A:$W,$Z$7,FALSE)</f>
        <v>ml</v>
      </c>
      <c r="F88" s="113"/>
      <c r="G88" s="113"/>
      <c r="H88" s="113"/>
      <c r="I88" s="113">
        <v>594060</v>
      </c>
      <c r="J88" s="113"/>
      <c r="K88" s="114" t="str">
        <f>VLOOKUP("PREFA Stoßblech L = 2.000 mm",Sprachindex!$A:$W,$Z$7,FALSE)</f>
        <v>profil de raccord T ; L = 2 000 mm</v>
      </c>
      <c r="L88" s="115"/>
      <c r="M88" s="115"/>
      <c r="N88" s="115"/>
      <c r="O88" s="115"/>
      <c r="P88" s="115"/>
      <c r="Q88" s="115"/>
      <c r="R88" s="115"/>
      <c r="S88" s="115"/>
      <c r="T88" s="115"/>
      <c r="U88" s="116"/>
      <c r="V88" s="122" t="str">
        <f>IF(C88&gt;0,ROUNDUP(C88/2,0)*2 &amp; " " &amp; VLOOKUP("lfm",Sprachindex!$A:$W,$Z$7,FALSE),"")</f>
        <v/>
      </c>
      <c r="W88" s="123"/>
      <c r="X88" s="120"/>
      <c r="Y88" s="121"/>
    </row>
    <row r="89" spans="3:50" ht="24.95" customHeight="1" x14ac:dyDescent="0.25">
      <c r="C89" s="117"/>
      <c r="D89" s="118"/>
      <c r="E89" s="113" t="str">
        <f>VLOOKUP("lfm",Sprachindex!$A:$W,$Z$7,FALSE)</f>
        <v>ml</v>
      </c>
      <c r="F89" s="113"/>
      <c r="G89" s="113"/>
      <c r="H89" s="113"/>
      <c r="I89" s="113">
        <v>594060</v>
      </c>
      <c r="J89" s="113"/>
      <c r="K89" s="114" t="str">
        <f>VLOOKUP("PREFA Innenecke L = 2.000 mm",Sprachindex!$A:$W,$Z$7,FALSE)</f>
        <v>angle rentrant ; L = 2 000 mm</v>
      </c>
      <c r="L89" s="115"/>
      <c r="M89" s="115"/>
      <c r="N89" s="115"/>
      <c r="O89" s="115"/>
      <c r="P89" s="115"/>
      <c r="Q89" s="115"/>
      <c r="R89" s="115"/>
      <c r="S89" s="115"/>
      <c r="T89" s="115"/>
      <c r="U89" s="116"/>
      <c r="V89" s="122" t="str">
        <f>IF(C89&gt;0,ROUNDUP(C89/2,0)*2 &amp; " " &amp; VLOOKUP("lfm",Sprachindex!$A:$W,$Z$7,FALSE),"")</f>
        <v/>
      </c>
      <c r="W89" s="123"/>
      <c r="X89" s="120"/>
      <c r="Y89" s="121"/>
    </row>
    <row r="90" spans="3:50" ht="24.95" customHeight="1" x14ac:dyDescent="0.25">
      <c r="C90" s="117"/>
      <c r="D90" s="118"/>
      <c r="E90" s="113" t="str">
        <f>VLOOKUP("lfm",Sprachindex!$A:$W,$Z$7,FALSE)</f>
        <v>ml</v>
      </c>
      <c r="F90" s="113"/>
      <c r="G90" s="113"/>
      <c r="H90" s="113"/>
      <c r="I90" s="113">
        <v>594060</v>
      </c>
      <c r="J90" s="113"/>
      <c r="K90" s="114" t="str">
        <f>VLOOKUP("PREFA Innenecke L = 2.000 mm (mehrteilig)",Sprachindex!$A:$W,$Z$7,FALSE)</f>
        <v>angle rentrant PREFA, L = 2 000 mm (plusieurs éléments)</v>
      </c>
      <c r="L90" s="115"/>
      <c r="M90" s="115"/>
      <c r="N90" s="115"/>
      <c r="O90" s="115"/>
      <c r="P90" s="115"/>
      <c r="Q90" s="115"/>
      <c r="R90" s="115"/>
      <c r="S90" s="115"/>
      <c r="T90" s="115"/>
      <c r="U90" s="116"/>
      <c r="V90" s="122" t="str">
        <f>IF(C90&gt;0,ROUNDUP(C90/2,0)*2 &amp; " " &amp; VLOOKUP("lfm",Sprachindex!$A:$W,$Z$7,FALSE),"")</f>
        <v/>
      </c>
      <c r="W90" s="123"/>
      <c r="X90" s="120"/>
      <c r="Y90" s="121"/>
    </row>
    <row r="91" spans="3:50" ht="24.95" customHeight="1" x14ac:dyDescent="0.25">
      <c r="C91" s="117"/>
      <c r="D91" s="118"/>
      <c r="E91" s="113" t="str">
        <f>VLOOKUP("lfm",Sprachindex!$A:$W,$Z$7,FALSE)</f>
        <v>ml</v>
      </c>
      <c r="F91" s="113"/>
      <c r="G91" s="113"/>
      <c r="H91" s="113"/>
      <c r="I91" s="113">
        <v>594060</v>
      </c>
      <c r="J91" s="113"/>
      <c r="K91" s="114" t="str">
        <f>VLOOKUP("PREFA Sockelprofil L = 2.500 mm",Sprachindex!$A:$W,$Z$7,FALSE)</f>
        <v>profil de socle ; L = 2 500 mm</v>
      </c>
      <c r="L91" s="115"/>
      <c r="M91" s="115"/>
      <c r="N91" s="115"/>
      <c r="O91" s="115"/>
      <c r="P91" s="115"/>
      <c r="Q91" s="115"/>
      <c r="R91" s="115"/>
      <c r="S91" s="115"/>
      <c r="T91" s="115"/>
      <c r="U91" s="116"/>
      <c r="V91" s="122" t="str">
        <f>IF(C91&gt;0,ROUNDUP(C91/2.5,0)*2.5 &amp; " " &amp; VLOOKUP("lfm",Sprachindex!$A:$W,$Z$7,FALSE),"")</f>
        <v/>
      </c>
      <c r="W91" s="123"/>
      <c r="X91" s="120"/>
      <c r="Y91" s="121"/>
      <c r="AC91" s="20" t="s">
        <v>59</v>
      </c>
      <c r="AD91" s="20" t="s">
        <v>58</v>
      </c>
      <c r="AE91" s="20" t="s">
        <v>57</v>
      </c>
      <c r="AF91" s="20" t="s">
        <v>56</v>
      </c>
      <c r="AG91" s="20" t="s">
        <v>55</v>
      </c>
      <c r="AH91" s="20" t="s">
        <v>54</v>
      </c>
      <c r="AI91" s="20" t="s">
        <v>53</v>
      </c>
      <c r="AJ91" s="20" t="s">
        <v>52</v>
      </c>
      <c r="AK91" s="20" t="s">
        <v>51</v>
      </c>
      <c r="AL91" s="20" t="s">
        <v>50</v>
      </c>
      <c r="AM91" s="20" t="s">
        <v>49</v>
      </c>
      <c r="AN91" s="20" t="s">
        <v>48</v>
      </c>
      <c r="AO91" s="20" t="s">
        <v>47</v>
      </c>
      <c r="AP91" s="20" t="s">
        <v>46</v>
      </c>
      <c r="AQ91" s="19" t="s">
        <v>45</v>
      </c>
      <c r="AR91" s="19" t="s">
        <v>44</v>
      </c>
      <c r="AS91" s="19" t="s">
        <v>43</v>
      </c>
      <c r="AT91" s="19" t="s">
        <v>42</v>
      </c>
      <c r="AU91" s="19" t="s">
        <v>41</v>
      </c>
      <c r="AV91" s="19" t="s">
        <v>40</v>
      </c>
      <c r="AW91" s="19" t="s">
        <v>39</v>
      </c>
      <c r="AX91" s="16" t="s">
        <v>38</v>
      </c>
    </row>
    <row r="92" spans="3:50" ht="24.95" customHeight="1" x14ac:dyDescent="0.25">
      <c r="C92" s="117"/>
      <c r="D92" s="118"/>
      <c r="E92" s="113" t="str">
        <f>VLOOKUP("STK",Sprachindex!$A:$W,$Z$7,FALSE)</f>
        <v>pc.</v>
      </c>
      <c r="F92" s="113"/>
      <c r="G92" s="113"/>
      <c r="H92" s="113"/>
      <c r="I92" s="113" t="e">
        <f>AX92</f>
        <v>#VALUE!</v>
      </c>
      <c r="J92" s="113"/>
      <c r="K92" s="114" t="str">
        <f>VLOOKUP("PREFA Montagelochabdeckung Ø 30 mm",Sprachindex!$A:$W,$Z$7,FALSE)</f>
        <v>cache-trou Ø 30 mm</v>
      </c>
      <c r="L92" s="115"/>
      <c r="M92" s="115"/>
      <c r="N92" s="115"/>
      <c r="O92" s="115"/>
      <c r="P92" s="115"/>
      <c r="Q92" s="115"/>
      <c r="R92" s="115"/>
      <c r="S92" s="115"/>
      <c r="T92" s="115"/>
      <c r="U92" s="116"/>
      <c r="V92" s="122" t="str">
        <f>IF(C92&gt;0,C92 &amp; " " &amp; VLOOKUP("Stk",Sprachindex!$A:$W,$Z$7,FALSE),"")</f>
        <v/>
      </c>
      <c r="W92" s="123"/>
      <c r="X92" s="120"/>
      <c r="Y92" s="121"/>
      <c r="AC92" s="18" t="s">
        <v>37</v>
      </c>
      <c r="AD92" s="18" t="s">
        <v>36</v>
      </c>
      <c r="AE92" s="18" t="s">
        <v>35</v>
      </c>
      <c r="AF92" s="18" t="s">
        <v>35</v>
      </c>
      <c r="AG92" s="18" t="s">
        <v>34</v>
      </c>
      <c r="AH92" s="18" t="s">
        <v>33</v>
      </c>
      <c r="AI92" s="18" t="s">
        <v>32</v>
      </c>
      <c r="AJ92" s="18" t="s">
        <v>31</v>
      </c>
      <c r="AK92" s="18" t="s">
        <v>30</v>
      </c>
      <c r="AL92" s="18" t="s">
        <v>29</v>
      </c>
      <c r="AM92" s="18" t="s">
        <v>28</v>
      </c>
      <c r="AN92" s="18" t="s">
        <v>27</v>
      </c>
      <c r="AO92" s="18" t="s">
        <v>26</v>
      </c>
      <c r="AP92" s="18" t="s">
        <v>25</v>
      </c>
      <c r="AQ92" s="17" t="s">
        <v>24</v>
      </c>
      <c r="AR92" s="17" t="s">
        <v>23</v>
      </c>
      <c r="AS92" s="17" t="s">
        <v>22</v>
      </c>
      <c r="AT92" s="17" t="s">
        <v>21</v>
      </c>
      <c r="AU92" s="17" t="s">
        <v>20</v>
      </c>
      <c r="AV92" s="17" t="s">
        <v>19</v>
      </c>
      <c r="AW92" s="17" t="s">
        <v>18</v>
      </c>
      <c r="AX92" s="16" t="e">
        <f>VLOOKUP(AC92,AC92:AW92,$Z$20,FALSE)</f>
        <v>#VALUE!</v>
      </c>
    </row>
    <row r="93" spans="3:50" ht="24.95" customHeight="1" x14ac:dyDescent="0.25">
      <c r="C93" s="165"/>
      <c r="D93" s="166"/>
      <c r="E93" s="167" t="str">
        <f>VLOOKUP("STK",Sprachindex!$A:$W,$Z$7,FALSE)</f>
        <v>pc.</v>
      </c>
      <c r="F93" s="167"/>
      <c r="G93" s="167"/>
      <c r="H93" s="167"/>
      <c r="I93" s="113" t="e">
        <f>AX93</f>
        <v>#VALUE!</v>
      </c>
      <c r="J93" s="113"/>
      <c r="K93" s="168" t="str">
        <f>VLOOKUP("PREFA Patentnieten 4 x 9,5 mm",Sprachindex!$A:$W,$Z$7,FALSE)</f>
        <v>rivets brevetés 4 × 10 mm</v>
      </c>
      <c r="L93" s="169"/>
      <c r="M93" s="169"/>
      <c r="N93" s="169"/>
      <c r="O93" s="169"/>
      <c r="P93" s="169"/>
      <c r="Q93" s="169"/>
      <c r="R93" s="169"/>
      <c r="S93" s="169"/>
      <c r="T93" s="169"/>
      <c r="U93" s="170"/>
      <c r="V93" s="155" t="str">
        <f>IF(C93&gt;0,ROUNDUP(C93/250,0)*250 &amp; " " &amp; VLOOKUP("Stk",Sprachindex!$A:$W,$Z$7,FALSE),"")</f>
        <v/>
      </c>
      <c r="W93" s="156"/>
      <c r="X93" s="1"/>
      <c r="AC93" s="18" t="s">
        <v>17</v>
      </c>
      <c r="AD93" s="18" t="s">
        <v>2</v>
      </c>
      <c r="AE93" s="18" t="s">
        <v>16</v>
      </c>
      <c r="AF93" s="18" t="s">
        <v>15</v>
      </c>
      <c r="AG93" s="18" t="s">
        <v>14</v>
      </c>
      <c r="AH93" s="18" t="s">
        <v>13</v>
      </c>
      <c r="AI93" s="18" t="s">
        <v>12</v>
      </c>
      <c r="AJ93" s="18" t="s">
        <v>9</v>
      </c>
      <c r="AK93" s="18" t="s">
        <v>11</v>
      </c>
      <c r="AL93" s="18" t="s">
        <v>10</v>
      </c>
      <c r="AM93" s="18" t="s">
        <v>9</v>
      </c>
      <c r="AN93" s="18" t="s">
        <v>8</v>
      </c>
      <c r="AO93" s="18" t="s">
        <v>7</v>
      </c>
      <c r="AP93" s="18" t="s">
        <v>6</v>
      </c>
      <c r="AQ93" s="17" t="s">
        <v>5</v>
      </c>
      <c r="AR93" s="17" t="s">
        <v>4</v>
      </c>
      <c r="AS93" s="17" t="s">
        <v>3</v>
      </c>
      <c r="AT93" s="17" t="s">
        <v>3</v>
      </c>
      <c r="AU93" s="17" t="s">
        <v>2</v>
      </c>
      <c r="AV93" s="17" t="s">
        <v>1</v>
      </c>
      <c r="AW93" s="17" t="s">
        <v>0</v>
      </c>
      <c r="AX93" s="16" t="e">
        <f>VLOOKUP(AC93,AC93:AW93,$Z$20,FALSE)</f>
        <v>#VALUE!</v>
      </c>
    </row>
    <row r="94" spans="3:50" ht="24.95" customHeight="1" x14ac:dyDescent="0.25">
      <c r="C94" s="117"/>
      <c r="D94" s="118"/>
      <c r="E94" s="171"/>
      <c r="F94" s="171"/>
      <c r="G94" s="171"/>
      <c r="H94" s="171"/>
      <c r="I94" s="171"/>
      <c r="J94" s="171"/>
      <c r="K94" s="172"/>
      <c r="L94" s="173"/>
      <c r="M94" s="173"/>
      <c r="N94" s="173"/>
      <c r="O94" s="173"/>
      <c r="P94" s="173"/>
      <c r="Q94" s="173"/>
      <c r="R94" s="173"/>
      <c r="S94" s="173"/>
      <c r="T94" s="173"/>
      <c r="U94" s="174"/>
      <c r="V94" s="153"/>
      <c r="W94" s="154"/>
      <c r="X94" s="1"/>
    </row>
    <row r="95" spans="3:50" ht="24.95" customHeight="1" thickBot="1" x14ac:dyDescent="0.3">
      <c r="C95" s="163"/>
      <c r="D95" s="164"/>
      <c r="E95" s="150"/>
      <c r="F95" s="150"/>
      <c r="G95" s="150"/>
      <c r="H95" s="150"/>
      <c r="I95" s="150"/>
      <c r="J95" s="150"/>
      <c r="K95" s="110"/>
      <c r="L95" s="111"/>
      <c r="M95" s="111"/>
      <c r="N95" s="111"/>
      <c r="O95" s="111"/>
      <c r="P95" s="111"/>
      <c r="Q95" s="111"/>
      <c r="R95" s="111"/>
      <c r="S95" s="111"/>
      <c r="T95" s="111"/>
      <c r="U95" s="112"/>
      <c r="V95" s="151" t="str">
        <f>IF(C95&gt;0,ROUNDUP(C95/250,0)*250 &amp; " " &amp; VLOOKUP("Stk",Sprachindex!$A:$W,$Z$7,FALSE),"")</f>
        <v/>
      </c>
      <c r="W95" s="152"/>
      <c r="X95" s="1"/>
    </row>
    <row r="96" spans="3:50" s="7" customFormat="1" ht="9.9499999999999993" customHeight="1" x14ac:dyDescent="0.25">
      <c r="D96" s="15"/>
      <c r="E96" s="14"/>
      <c r="F96" s="14"/>
      <c r="G96" s="14"/>
      <c r="H96" s="14"/>
      <c r="I96" s="14"/>
      <c r="J96" s="14"/>
      <c r="K96" s="13"/>
      <c r="L96" s="13"/>
      <c r="M96" s="13"/>
      <c r="N96" s="10"/>
      <c r="O96" s="9"/>
      <c r="P96" s="8"/>
      <c r="AB96" s="1"/>
    </row>
    <row r="97" spans="1:28" s="7" customFormat="1" ht="9.9499999999999993" customHeight="1" x14ac:dyDescent="0.25"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AB97" s="1"/>
    </row>
    <row r="98" spans="1:28" s="7" customFormat="1" ht="9.9499999999999993" customHeight="1" x14ac:dyDescent="0.25">
      <c r="C98" s="12" t="str">
        <f>VLOOKUP("Zusatzvermerk:",Sprachindex!$A:$W,$Z$7,FALSE)</f>
        <v>Indications complémentaires :</v>
      </c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AB98" s="1"/>
    </row>
    <row r="99" spans="1:28" s="7" customFormat="1" ht="9.9499999999999993" customHeight="1" x14ac:dyDescent="0.25"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AB99" s="1"/>
    </row>
    <row r="100" spans="1:28" s="7" customFormat="1" ht="9.9499999999999993" customHeight="1" x14ac:dyDescent="0.25"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AB100" s="1"/>
    </row>
    <row r="101" spans="1:28" s="7" customFormat="1" ht="9.9499999999999993" customHeight="1" x14ac:dyDescent="0.25"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0"/>
      <c r="O101" s="9"/>
      <c r="P101" s="8"/>
    </row>
    <row r="102" spans="1:28" ht="9.9499999999999993" customHeight="1" x14ac:dyDescent="0.25"/>
    <row r="103" spans="1:28" ht="14.25" customHeight="1" x14ac:dyDescent="0.25">
      <c r="A103" s="6" t="str">
        <f>VLOOKUP("Anwendungstechnik",Sprachindex!$A:$W,$Z$7,FALSE)</f>
        <v>Service technique</v>
      </c>
      <c r="B103" s="4"/>
      <c r="C103" s="4"/>
      <c r="D103" s="141"/>
      <c r="E103" s="141"/>
      <c r="F103" s="141"/>
      <c r="G103" s="141"/>
      <c r="H103" s="141"/>
      <c r="I103" s="141"/>
      <c r="J103" s="141"/>
      <c r="K103" s="141"/>
      <c r="L103" s="141"/>
      <c r="M103" s="4"/>
      <c r="N103" s="4"/>
      <c r="O103" s="4"/>
      <c r="P103" s="5"/>
      <c r="Q103" s="4"/>
      <c r="R103" s="4"/>
      <c r="S103" s="4"/>
      <c r="T103" s="4"/>
      <c r="U103" s="4"/>
      <c r="V103" s="4"/>
      <c r="W103" s="3" t="str">
        <f>VLOOKUP("Stand:",Sprachindex!$A:$W,$Z$7,FALSE)</f>
        <v>Version :</v>
      </c>
      <c r="X103" s="148">
        <f>X58</f>
        <v>44692</v>
      </c>
      <c r="Y103" s="149"/>
    </row>
    <row r="104" spans="1:28" ht="14.25" hidden="1" customHeight="1" x14ac:dyDescent="0.25"/>
    <row r="105" spans="1:28" ht="14.25" hidden="1" customHeight="1" x14ac:dyDescent="0.25"/>
    <row r="106" spans="1:28" ht="14.25" hidden="1" customHeight="1" x14ac:dyDescent="0.25"/>
    <row r="107" spans="1:28" ht="0" hidden="1" customHeight="1" x14ac:dyDescent="0.25"/>
  </sheetData>
  <sheetProtection password="8D71" sheet="1" objects="1" scenarios="1" selectLockedCells="1" autoFilter="0"/>
  <mergeCells count="398">
    <mergeCell ref="C86:D86"/>
    <mergeCell ref="X90:Y90"/>
    <mergeCell ref="C79:D79"/>
    <mergeCell ref="E79:F79"/>
    <mergeCell ref="G79:H79"/>
    <mergeCell ref="I79:J79"/>
    <mergeCell ref="K79:U79"/>
    <mergeCell ref="V79:W79"/>
    <mergeCell ref="X79:Y79"/>
    <mergeCell ref="E83:F83"/>
    <mergeCell ref="E81:F81"/>
    <mergeCell ref="C87:D87"/>
    <mergeCell ref="C88:D88"/>
    <mergeCell ref="C82:D82"/>
    <mergeCell ref="E82:F82"/>
    <mergeCell ref="G82:H82"/>
    <mergeCell ref="I82:J82"/>
    <mergeCell ref="I88:J88"/>
    <mergeCell ref="I87:J87"/>
    <mergeCell ref="K82:U82"/>
    <mergeCell ref="X85:Y85"/>
    <mergeCell ref="X86:Y86"/>
    <mergeCell ref="X87:Y87"/>
    <mergeCell ref="X89:Y89"/>
    <mergeCell ref="E70:F70"/>
    <mergeCell ref="G70:H70"/>
    <mergeCell ref="G71:H71"/>
    <mergeCell ref="G75:H75"/>
    <mergeCell ref="I75:J75"/>
    <mergeCell ref="I76:J76"/>
    <mergeCell ref="I68:J68"/>
    <mergeCell ref="G63:H63"/>
    <mergeCell ref="I63:J63"/>
    <mergeCell ref="G64:H64"/>
    <mergeCell ref="V62:W62"/>
    <mergeCell ref="Q42:R42"/>
    <mergeCell ref="Q43:R43"/>
    <mergeCell ref="K48:L48"/>
    <mergeCell ref="K47:L47"/>
    <mergeCell ref="Q47:R47"/>
    <mergeCell ref="K71:U71"/>
    <mergeCell ref="G72:H72"/>
    <mergeCell ref="I70:J70"/>
    <mergeCell ref="Q49:R49"/>
    <mergeCell ref="W54:X54"/>
    <mergeCell ref="W48:X48"/>
    <mergeCell ref="W49:X49"/>
    <mergeCell ref="W47:X47"/>
    <mergeCell ref="Q52:R52"/>
    <mergeCell ref="Q38:R38"/>
    <mergeCell ref="Q41:R41"/>
    <mergeCell ref="Q39:R39"/>
    <mergeCell ref="Q40:R40"/>
    <mergeCell ref="Q48:R48"/>
    <mergeCell ref="V75:W75"/>
    <mergeCell ref="V76:W76"/>
    <mergeCell ref="V88:W88"/>
    <mergeCell ref="V81:W81"/>
    <mergeCell ref="V84:W84"/>
    <mergeCell ref="V77:W77"/>
    <mergeCell ref="W46:X46"/>
    <mergeCell ref="V63:W63"/>
    <mergeCell ref="X70:Y70"/>
    <mergeCell ref="X71:Y71"/>
    <mergeCell ref="X72:Y72"/>
    <mergeCell ref="X73:Y73"/>
    <mergeCell ref="X58:Y58"/>
    <mergeCell ref="X67:Y67"/>
    <mergeCell ref="X88:Y88"/>
    <mergeCell ref="V73:W73"/>
    <mergeCell ref="V74:W74"/>
    <mergeCell ref="X83:Y83"/>
    <mergeCell ref="X84:Y84"/>
    <mergeCell ref="V71:W71"/>
    <mergeCell ref="V70:W70"/>
    <mergeCell ref="V72:W72"/>
    <mergeCell ref="X69:Y69"/>
    <mergeCell ref="K32:L32"/>
    <mergeCell ref="K45:L45"/>
    <mergeCell ref="W37:X37"/>
    <mergeCell ref="W38:X38"/>
    <mergeCell ref="W39:X39"/>
    <mergeCell ref="W40:X40"/>
    <mergeCell ref="W44:X44"/>
    <mergeCell ref="W45:X45"/>
    <mergeCell ref="K46:L46"/>
    <mergeCell ref="Q32:R32"/>
    <mergeCell ref="Q33:R33"/>
    <mergeCell ref="Q34:R34"/>
    <mergeCell ref="K37:L37"/>
    <mergeCell ref="Q46:R46"/>
    <mergeCell ref="W32:X32"/>
    <mergeCell ref="W33:X33"/>
    <mergeCell ref="W34:X34"/>
    <mergeCell ref="W43:X43"/>
    <mergeCell ref="W35:X35"/>
    <mergeCell ref="W36:X36"/>
    <mergeCell ref="E44:F44"/>
    <mergeCell ref="E51:F51"/>
    <mergeCell ref="E50:F50"/>
    <mergeCell ref="E55:F55"/>
    <mergeCell ref="C29:C30"/>
    <mergeCell ref="E29:F30"/>
    <mergeCell ref="E32:F32"/>
    <mergeCell ref="B28:D28"/>
    <mergeCell ref="E33:F33"/>
    <mergeCell ref="E34:F34"/>
    <mergeCell ref="E35:F35"/>
    <mergeCell ref="E36:F36"/>
    <mergeCell ref="E52:F52"/>
    <mergeCell ref="E37:F37"/>
    <mergeCell ref="E43:F43"/>
    <mergeCell ref="E48:F48"/>
    <mergeCell ref="E49:F49"/>
    <mergeCell ref="E47:F47"/>
    <mergeCell ref="E46:F46"/>
    <mergeCell ref="E41:F41"/>
    <mergeCell ref="E42:F42"/>
    <mergeCell ref="E54:F54"/>
    <mergeCell ref="E53:F53"/>
    <mergeCell ref="E63:F63"/>
    <mergeCell ref="C64:D64"/>
    <mergeCell ref="K62:U62"/>
    <mergeCell ref="G62:H62"/>
    <mergeCell ref="I62:J62"/>
    <mergeCell ref="E61:F61"/>
    <mergeCell ref="C60:D60"/>
    <mergeCell ref="I61:J61"/>
    <mergeCell ref="G61:H61"/>
    <mergeCell ref="K42:L42"/>
    <mergeCell ref="K49:L49"/>
    <mergeCell ref="K44:L44"/>
    <mergeCell ref="C65:D65"/>
    <mergeCell ref="C61:D61"/>
    <mergeCell ref="D8:H8"/>
    <mergeCell ref="U8:W8"/>
    <mergeCell ref="U4:X4"/>
    <mergeCell ref="U5:X5"/>
    <mergeCell ref="U6:X6"/>
    <mergeCell ref="V9:W9"/>
    <mergeCell ref="E38:F38"/>
    <mergeCell ref="E39:F39"/>
    <mergeCell ref="E40:F40"/>
    <mergeCell ref="N28:P28"/>
    <mergeCell ref="K28:L28"/>
    <mergeCell ref="K38:L38"/>
    <mergeCell ref="E31:F31"/>
    <mergeCell ref="I29:I30"/>
    <mergeCell ref="N29:N30"/>
    <mergeCell ref="O29:O30"/>
    <mergeCell ref="T29:T30"/>
    <mergeCell ref="U29:U30"/>
    <mergeCell ref="E65:F65"/>
    <mergeCell ref="V19:W19"/>
    <mergeCell ref="D15:H15"/>
    <mergeCell ref="D16:H16"/>
    <mergeCell ref="W31:X31"/>
    <mergeCell ref="Q31:R31"/>
    <mergeCell ref="D9:H9"/>
    <mergeCell ref="D10:H10"/>
    <mergeCell ref="D18:H18"/>
    <mergeCell ref="D12:H12"/>
    <mergeCell ref="V18:W18"/>
    <mergeCell ref="V13:W13"/>
    <mergeCell ref="V12:W12"/>
    <mergeCell ref="V11:W11"/>
    <mergeCell ref="V10:W10"/>
    <mergeCell ref="V17:W17"/>
    <mergeCell ref="V16:W16"/>
    <mergeCell ref="V15:W15"/>
    <mergeCell ref="V14:W14"/>
    <mergeCell ref="O14:S15"/>
    <mergeCell ref="V21:W21"/>
    <mergeCell ref="V20:W20"/>
    <mergeCell ref="V22:W22"/>
    <mergeCell ref="T28:V28"/>
    <mergeCell ref="K31:L31"/>
    <mergeCell ref="D11:H11"/>
    <mergeCell ref="D17:H17"/>
    <mergeCell ref="D13:H13"/>
    <mergeCell ref="E28:F28"/>
    <mergeCell ref="C95:D95"/>
    <mergeCell ref="E95:F95"/>
    <mergeCell ref="C94:D94"/>
    <mergeCell ref="C93:D93"/>
    <mergeCell ref="E93:F93"/>
    <mergeCell ref="G93:H93"/>
    <mergeCell ref="E94:F94"/>
    <mergeCell ref="G94:H94"/>
    <mergeCell ref="C91:D91"/>
    <mergeCell ref="C75:D75"/>
    <mergeCell ref="E76:F76"/>
    <mergeCell ref="C70:D70"/>
    <mergeCell ref="E56:F56"/>
    <mergeCell ref="C68:D68"/>
    <mergeCell ref="E45:F45"/>
    <mergeCell ref="E67:F67"/>
    <mergeCell ref="D58:L58"/>
    <mergeCell ref="C62:D62"/>
    <mergeCell ref="E62:F62"/>
    <mergeCell ref="C63:D63"/>
    <mergeCell ref="C71:D71"/>
    <mergeCell ref="C72:D72"/>
    <mergeCell ref="E84:F84"/>
    <mergeCell ref="C73:D73"/>
    <mergeCell ref="E74:F74"/>
    <mergeCell ref="E75:F75"/>
    <mergeCell ref="E72:F72"/>
    <mergeCell ref="G73:H73"/>
    <mergeCell ref="G74:H74"/>
    <mergeCell ref="C81:D81"/>
    <mergeCell ref="E71:F71"/>
    <mergeCell ref="E77:F77"/>
    <mergeCell ref="E78:F78"/>
    <mergeCell ref="C80:D80"/>
    <mergeCell ref="I72:J72"/>
    <mergeCell ref="I73:J73"/>
    <mergeCell ref="I74:J74"/>
    <mergeCell ref="E88:F88"/>
    <mergeCell ref="E87:F87"/>
    <mergeCell ref="E86:F86"/>
    <mergeCell ref="C90:D90"/>
    <mergeCell ref="K91:U91"/>
    <mergeCell ref="V64:W64"/>
    <mergeCell ref="V68:W68"/>
    <mergeCell ref="K65:U65"/>
    <mergeCell ref="G77:H77"/>
    <mergeCell ref="V90:W90"/>
    <mergeCell ref="V86:W86"/>
    <mergeCell ref="V87:W87"/>
    <mergeCell ref="V91:W91"/>
    <mergeCell ref="I64:J64"/>
    <mergeCell ref="C66:D66"/>
    <mergeCell ref="E66:F66"/>
    <mergeCell ref="G66:H66"/>
    <mergeCell ref="I66:J66"/>
    <mergeCell ref="I65:J65"/>
    <mergeCell ref="G65:H65"/>
    <mergeCell ref="E68:F68"/>
    <mergeCell ref="X103:Y103"/>
    <mergeCell ref="W55:X55"/>
    <mergeCell ref="Q55:R55"/>
    <mergeCell ref="G95:H95"/>
    <mergeCell ref="I95:J95"/>
    <mergeCell ref="V95:W95"/>
    <mergeCell ref="V83:W83"/>
    <mergeCell ref="I83:J83"/>
    <mergeCell ref="V94:W94"/>
    <mergeCell ref="V93:W93"/>
    <mergeCell ref="D103:L103"/>
    <mergeCell ref="D97:W98"/>
    <mergeCell ref="D99:W100"/>
    <mergeCell ref="K76:U76"/>
    <mergeCell ref="K75:U75"/>
    <mergeCell ref="K74:U74"/>
    <mergeCell ref="E80:F80"/>
    <mergeCell ref="I89:J89"/>
    <mergeCell ref="W56:X56"/>
    <mergeCell ref="C67:D67"/>
    <mergeCell ref="E64:F64"/>
    <mergeCell ref="X91:Y91"/>
    <mergeCell ref="X92:Y92"/>
    <mergeCell ref="V89:W89"/>
    <mergeCell ref="AC60:AW60"/>
    <mergeCell ref="K84:U84"/>
    <mergeCell ref="X74:Y74"/>
    <mergeCell ref="X75:Y75"/>
    <mergeCell ref="X76:Y76"/>
    <mergeCell ref="X77:Y77"/>
    <mergeCell ref="X78:Y78"/>
    <mergeCell ref="X80:Y80"/>
    <mergeCell ref="X81:Y81"/>
    <mergeCell ref="K83:U83"/>
    <mergeCell ref="K81:U81"/>
    <mergeCell ref="K80:U80"/>
    <mergeCell ref="K78:U78"/>
    <mergeCell ref="K77:U77"/>
    <mergeCell ref="K61:U61"/>
    <mergeCell ref="V61:W61"/>
    <mergeCell ref="K70:U70"/>
    <mergeCell ref="K67:U67"/>
    <mergeCell ref="K69:U69"/>
    <mergeCell ref="K72:U72"/>
    <mergeCell ref="K73:U73"/>
    <mergeCell ref="V66:W66"/>
    <mergeCell ref="V67:W67"/>
    <mergeCell ref="K63:U63"/>
    <mergeCell ref="Q44:R44"/>
    <mergeCell ref="Q45:R45"/>
    <mergeCell ref="Q29:R30"/>
    <mergeCell ref="Q28:R28"/>
    <mergeCell ref="W42:X42"/>
    <mergeCell ref="A26:Y26"/>
    <mergeCell ref="W41:X41"/>
    <mergeCell ref="W28:X28"/>
    <mergeCell ref="K36:L36"/>
    <mergeCell ref="K41:L41"/>
    <mergeCell ref="Q35:R35"/>
    <mergeCell ref="Q36:R36"/>
    <mergeCell ref="Q37:R37"/>
    <mergeCell ref="B29:B30"/>
    <mergeCell ref="H29:H30"/>
    <mergeCell ref="H28:J28"/>
    <mergeCell ref="W29:X30"/>
    <mergeCell ref="K33:L33"/>
    <mergeCell ref="K34:L34"/>
    <mergeCell ref="K35:L35"/>
    <mergeCell ref="K39:L39"/>
    <mergeCell ref="K40:L40"/>
    <mergeCell ref="K29:L30"/>
    <mergeCell ref="K43:L43"/>
    <mergeCell ref="V92:W92"/>
    <mergeCell ref="V85:W85"/>
    <mergeCell ref="V78:W78"/>
    <mergeCell ref="G90:H90"/>
    <mergeCell ref="I90:J90"/>
    <mergeCell ref="G91:H91"/>
    <mergeCell ref="G92:H92"/>
    <mergeCell ref="I91:J91"/>
    <mergeCell ref="I92:J92"/>
    <mergeCell ref="V82:W82"/>
    <mergeCell ref="K88:U88"/>
    <mergeCell ref="K92:U92"/>
    <mergeCell ref="K90:U90"/>
    <mergeCell ref="I81:J81"/>
    <mergeCell ref="K86:U86"/>
    <mergeCell ref="K85:U85"/>
    <mergeCell ref="X82:Y82"/>
    <mergeCell ref="V80:W80"/>
    <mergeCell ref="K56:L56"/>
    <mergeCell ref="K54:L54"/>
    <mergeCell ref="K50:L50"/>
    <mergeCell ref="K55:L55"/>
    <mergeCell ref="K51:L51"/>
    <mergeCell ref="K52:L52"/>
    <mergeCell ref="K53:L53"/>
    <mergeCell ref="K66:U66"/>
    <mergeCell ref="K64:U64"/>
    <mergeCell ref="V69:W69"/>
    <mergeCell ref="V65:W65"/>
    <mergeCell ref="K68:U68"/>
    <mergeCell ref="Q56:R56"/>
    <mergeCell ref="Q54:R54"/>
    <mergeCell ref="Q51:R51"/>
    <mergeCell ref="Q53:R53"/>
    <mergeCell ref="W50:X50"/>
    <mergeCell ref="Q50:R50"/>
    <mergeCell ref="X68:Y68"/>
    <mergeCell ref="W51:X51"/>
    <mergeCell ref="W52:X52"/>
    <mergeCell ref="W53:X53"/>
    <mergeCell ref="E90:F90"/>
    <mergeCell ref="E91:F91"/>
    <mergeCell ref="E92:F92"/>
    <mergeCell ref="C69:D69"/>
    <mergeCell ref="I71:J71"/>
    <mergeCell ref="C83:D83"/>
    <mergeCell ref="C84:D84"/>
    <mergeCell ref="C85:D85"/>
    <mergeCell ref="G67:H67"/>
    <mergeCell ref="I67:J67"/>
    <mergeCell ref="G69:H69"/>
    <mergeCell ref="G68:H68"/>
    <mergeCell ref="I69:J69"/>
    <mergeCell ref="C92:D92"/>
    <mergeCell ref="E85:F85"/>
    <mergeCell ref="C89:D89"/>
    <mergeCell ref="E89:F89"/>
    <mergeCell ref="E73:F73"/>
    <mergeCell ref="E69:F69"/>
    <mergeCell ref="C76:D76"/>
    <mergeCell ref="C77:D77"/>
    <mergeCell ref="C78:D78"/>
    <mergeCell ref="C74:D74"/>
    <mergeCell ref="G87:H87"/>
    <mergeCell ref="K95:U95"/>
    <mergeCell ref="G76:H76"/>
    <mergeCell ref="G83:H83"/>
    <mergeCell ref="G81:H81"/>
    <mergeCell ref="I86:J86"/>
    <mergeCell ref="G84:H84"/>
    <mergeCell ref="I84:J84"/>
    <mergeCell ref="I85:J85"/>
    <mergeCell ref="G78:H78"/>
    <mergeCell ref="K87:U87"/>
    <mergeCell ref="G89:H89"/>
    <mergeCell ref="K89:U89"/>
    <mergeCell ref="G80:H80"/>
    <mergeCell ref="I77:J77"/>
    <mergeCell ref="I78:J78"/>
    <mergeCell ref="I80:J80"/>
    <mergeCell ref="G85:H85"/>
    <mergeCell ref="G88:H88"/>
    <mergeCell ref="G86:H86"/>
    <mergeCell ref="I93:J93"/>
    <mergeCell ref="K93:U93"/>
    <mergeCell ref="I94:J94"/>
    <mergeCell ref="K94:U94"/>
  </mergeCells>
  <conditionalFormatting sqref="D8">
    <cfRule type="cellIs" dxfId="46" priority="22" operator="equal">
      <formula>""</formula>
    </cfRule>
  </conditionalFormatting>
  <conditionalFormatting sqref="D9">
    <cfRule type="cellIs" dxfId="45" priority="21" operator="equal">
      <formula>""</formula>
    </cfRule>
  </conditionalFormatting>
  <conditionalFormatting sqref="D12">
    <cfRule type="cellIs" dxfId="44" priority="20" operator="equal">
      <formula>""</formula>
    </cfRule>
  </conditionalFormatting>
  <conditionalFormatting sqref="D17">
    <cfRule type="cellIs" dxfId="43" priority="19" operator="equal">
      <formula>""</formula>
    </cfRule>
  </conditionalFormatting>
  <conditionalFormatting sqref="D11">
    <cfRule type="cellIs" dxfId="42" priority="18" operator="equal">
      <formula>""</formula>
    </cfRule>
  </conditionalFormatting>
  <conditionalFormatting sqref="D16">
    <cfRule type="cellIs" dxfId="41" priority="17" operator="equal">
      <formula>""</formula>
    </cfRule>
  </conditionalFormatting>
  <conditionalFormatting sqref="D15">
    <cfRule type="cellIs" dxfId="40" priority="16" operator="equal">
      <formula>""</formula>
    </cfRule>
  </conditionalFormatting>
  <conditionalFormatting sqref="U4">
    <cfRule type="cellIs" dxfId="39" priority="15" operator="equal">
      <formula>""</formula>
    </cfRule>
  </conditionalFormatting>
  <conditionalFormatting sqref="U5">
    <cfRule type="cellIs" dxfId="38" priority="14" operator="equal">
      <formula>""</formula>
    </cfRule>
  </conditionalFormatting>
  <conditionalFormatting sqref="U6">
    <cfRule type="cellIs" dxfId="37" priority="13" operator="equal">
      <formula>""</formula>
    </cfRule>
  </conditionalFormatting>
  <conditionalFormatting sqref="N28:R56">
    <cfRule type="expression" dxfId="36" priority="12">
      <formula>$Z$33=1</formula>
    </cfRule>
  </conditionalFormatting>
  <conditionalFormatting sqref="T29:X56 T28 W28:X28">
    <cfRule type="expression" dxfId="35" priority="11">
      <formula>$Z$34=1</formula>
    </cfRule>
  </conditionalFormatting>
  <conditionalFormatting sqref="B28:F56">
    <cfRule type="expression" dxfId="34" priority="10">
      <formula>$Z$31=1</formula>
    </cfRule>
  </conditionalFormatting>
  <conditionalFormatting sqref="H28:L56">
    <cfRule type="expression" dxfId="33" priority="9">
      <formula>$Z$32=1</formula>
    </cfRule>
  </conditionalFormatting>
  <conditionalFormatting sqref="D18">
    <cfRule type="cellIs" dxfId="32" priority="8" operator="equal">
      <formula>""</formula>
    </cfRule>
  </conditionalFormatting>
  <conditionalFormatting sqref="X67:Y67">
    <cfRule type="expression" dxfId="31" priority="7">
      <formula>$B$67&gt;0</formula>
    </cfRule>
  </conditionalFormatting>
  <conditionalFormatting sqref="L9">
    <cfRule type="expression" dxfId="30" priority="5">
      <formula>$Z$8=2</formula>
    </cfRule>
    <cfRule type="expression" dxfId="29" priority="6">
      <formula>$Z$8=1</formula>
    </cfRule>
  </conditionalFormatting>
  <conditionalFormatting sqref="R9">
    <cfRule type="expression" dxfId="28" priority="3">
      <formula>$Z$8=2</formula>
    </cfRule>
    <cfRule type="expression" dxfId="27" priority="4">
      <formula>$Z$8=1</formula>
    </cfRule>
  </conditionalFormatting>
  <conditionalFormatting sqref="U23:U24">
    <cfRule type="expression" dxfId="26" priority="2">
      <formula>$Z$10&lt;&gt;4</formula>
    </cfRule>
  </conditionalFormatting>
  <conditionalFormatting sqref="A26">
    <cfRule type="expression" dxfId="25" priority="1">
      <formula>$AF$8=1</formula>
    </cfRule>
  </conditionalFormatting>
  <dataValidations count="3">
    <dataValidation type="list" allowBlank="1" showInputMessage="1" showErrorMessage="1" sqref="U24">
      <formula1>$AD$5:$AD$17</formula1>
    </dataValidation>
    <dataValidation type="whole" allowBlank="1" showInputMessage="1" showErrorMessage="1" error="500-2500mm (mit Fuge)_x000a_500-6200mm (ohne Fuge)" sqref="D31:D55 J31:J55">
      <formula1>500</formula1>
      <formula2>IF(OR($Z$12=1),2500,6200)</formula2>
    </dataValidation>
    <dataValidation type="whole" allowBlank="1" showInputMessage="1" showErrorMessage="1" error="500-2500mm (mit Fuge)_x000a_500-6200mm (Ohne Fuge)" sqref="P31:P55 V31:V55">
      <formula1>500</formula1>
      <formula2>IF(OR($Z$12=1),2500,6200)</formula2>
    </dataValidation>
  </dataValidations>
  <pageMargins left="0.11811023622047245" right="0.11811023622047245" top="0.11811023622047245" bottom="0.11811023622047245" header="0.31496062992125984" footer="0.31496062992125984"/>
  <pageSetup paperSize="9" scale="67" fitToHeight="2" orientation="landscape" r:id="rId1"/>
  <rowBreaks count="1" manualBreakCount="1">
    <brk id="58" max="24" man="1"/>
  </rowBreaks>
  <drawing r:id="rId2"/>
  <legacyDrawing r:id="rId3"/>
  <oleObjects>
    <mc:AlternateContent xmlns:mc="http://schemas.openxmlformats.org/markup-compatibility/2006">
      <mc:Choice Requires="x14">
        <oleObject progId="CorelDraw.Graphic.15" shapeId="1062" r:id="rId4">
          <objectPr defaultSize="0" autoPict="0" r:id="rId5">
            <anchor moveWithCells="1" sizeWithCells="1">
              <from>
                <xdr:col>6</xdr:col>
                <xdr:colOff>295275</xdr:colOff>
                <xdr:row>92</xdr:row>
                <xdr:rowOff>28575</xdr:rowOff>
              </from>
              <to>
                <xdr:col>7</xdr:col>
                <xdr:colOff>247650</xdr:colOff>
                <xdr:row>92</xdr:row>
                <xdr:rowOff>295275</xdr:rowOff>
              </to>
            </anchor>
          </objectPr>
        </oleObject>
      </mc:Choice>
      <mc:Fallback>
        <oleObject progId="CorelDraw.Graphic.15" shapeId="1062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Group Box 1">
              <controlPr defaultSize="0" autoFill="0" autoPict="0" altText="">
                <anchor moveWithCells="1">
                  <from>
                    <xdr:col>8</xdr:col>
                    <xdr:colOff>409575</xdr:colOff>
                    <xdr:row>10</xdr:row>
                    <xdr:rowOff>0</xdr:rowOff>
                  </from>
                  <to>
                    <xdr:col>19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Group Box 2">
              <controlPr defaultSize="0" print="0" autoFill="0" autoPict="0" altText="">
                <anchor moveWithCells="1">
                  <from>
                    <xdr:col>0</xdr:col>
                    <xdr:colOff>161925</xdr:colOff>
                    <xdr:row>19</xdr:row>
                    <xdr:rowOff>0</xdr:rowOff>
                  </from>
                  <to>
                    <xdr:col>15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Option Button 3">
              <controlPr defaultSize="0" autoFill="0" autoLine="0" autoPict="0" altText="">
                <anchor moveWithCells="1">
                  <from>
                    <xdr:col>0</xdr:col>
                    <xdr:colOff>228600</xdr:colOff>
                    <xdr:row>20</xdr:row>
                    <xdr:rowOff>19050</xdr:rowOff>
                  </from>
                  <to>
                    <xdr:col>2</xdr:col>
                    <xdr:colOff>447675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Option Button 4">
              <controlPr defaultSize="0" autoFill="0" autoLine="0" autoPict="0" altText="">
                <anchor moveWithCells="1">
                  <from>
                    <xdr:col>0</xdr:col>
                    <xdr:colOff>228600</xdr:colOff>
                    <xdr:row>21</xdr:row>
                    <xdr:rowOff>19050</xdr:rowOff>
                  </from>
                  <to>
                    <xdr:col>2</xdr:col>
                    <xdr:colOff>447675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Option Button 5">
              <controlPr defaultSize="0" autoFill="0" autoLine="0" autoPict="0" altText="">
                <anchor moveWithCells="1">
                  <from>
                    <xdr:col>0</xdr:col>
                    <xdr:colOff>228600</xdr:colOff>
                    <xdr:row>22</xdr:row>
                    <xdr:rowOff>28575</xdr:rowOff>
                  </from>
                  <to>
                    <xdr:col>2</xdr:col>
                    <xdr:colOff>447675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Group Box 6">
              <controlPr defaultSize="0" autoFill="0" autoPict="0">
                <anchor moveWithCells="1">
                  <from>
                    <xdr:col>8</xdr:col>
                    <xdr:colOff>419100</xdr:colOff>
                    <xdr:row>7</xdr:row>
                    <xdr:rowOff>0</xdr:rowOff>
                  </from>
                  <to>
                    <xdr:col>19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Option Button 7">
              <controlPr defaultSize="0" autoFill="0" autoLine="0" autoPict="0">
                <anchor moveWithCells="1">
                  <from>
                    <xdr:col>10</xdr:col>
                    <xdr:colOff>428625</xdr:colOff>
                    <xdr:row>8</xdr:row>
                    <xdr:rowOff>19050</xdr:rowOff>
                  </from>
                  <to>
                    <xdr:col>12</xdr:col>
                    <xdr:colOff>466725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3" name="Option Button 8">
              <controlPr defaultSize="0" autoFill="0" autoLine="0" autoPict="0">
                <anchor moveWithCells="1">
                  <from>
                    <xdr:col>16</xdr:col>
                    <xdr:colOff>438150</xdr:colOff>
                    <xdr:row>8</xdr:row>
                    <xdr:rowOff>19050</xdr:rowOff>
                  </from>
                  <to>
                    <xdr:col>18</xdr:col>
                    <xdr:colOff>38100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4" name="Option Button 9">
              <controlPr defaultSize="0" autoFill="0" autoLine="0" autoPict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11</xdr:col>
                    <xdr:colOff>447675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5" name="Option Button 10">
              <controlPr defaultSize="0" autoFill="0" autoLine="0" autoPict="0">
                <anchor moveWithCells="1">
                  <from>
                    <xdr:col>12</xdr:col>
                    <xdr:colOff>419100</xdr:colOff>
                    <xdr:row>11</xdr:row>
                    <xdr:rowOff>19050</xdr:rowOff>
                  </from>
                  <to>
                    <xdr:col>14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6" name="Option Button 11">
              <controlPr defaultSize="0" autoFill="0" autoLine="0" autoPict="0">
                <anchor moveWithCells="1">
                  <from>
                    <xdr:col>14</xdr:col>
                    <xdr:colOff>428625</xdr:colOff>
                    <xdr:row>11</xdr:row>
                    <xdr:rowOff>19050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7" name="Option Button 12">
              <controlPr defaultSize="0" autoFill="0" autoLine="0" autoPict="0">
                <anchor moveWithCells="1">
                  <from>
                    <xdr:col>16</xdr:col>
                    <xdr:colOff>438150</xdr:colOff>
                    <xdr:row>11</xdr:row>
                    <xdr:rowOff>19050</xdr:rowOff>
                  </from>
                  <to>
                    <xdr:col>18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8" name="Group Box 13">
              <controlPr defaultSize="0" autoFill="0" autoPict="0" altText="">
                <anchor moveWithCells="1">
                  <from>
                    <xdr:col>8</xdr:col>
                    <xdr:colOff>409575</xdr:colOff>
                    <xdr:row>16</xdr:row>
                    <xdr:rowOff>0</xdr:rowOff>
                  </from>
                  <to>
                    <xdr:col>19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9" name="Option Button 14">
              <controlPr defaultSize="0" autoFill="0" autoLine="0" autoPict="0">
                <anchor moveWithCells="1">
                  <from>
                    <xdr:col>14</xdr:col>
                    <xdr:colOff>428625</xdr:colOff>
                    <xdr:row>17</xdr:row>
                    <xdr:rowOff>28575</xdr:rowOff>
                  </from>
                  <to>
                    <xdr:col>15</xdr:col>
                    <xdr:colOff>314325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0" name="Option Button 15">
              <controlPr defaultSize="0" autoFill="0" autoLine="0" autoPict="0">
                <anchor moveWithCells="1">
                  <from>
                    <xdr:col>16</xdr:col>
                    <xdr:colOff>438150</xdr:colOff>
                    <xdr:row>17</xdr:row>
                    <xdr:rowOff>28575</xdr:rowOff>
                  </from>
                  <to>
                    <xdr:col>17</xdr:col>
                    <xdr:colOff>323850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1" name="Option Button 16">
              <controlPr defaultSize="0" autoFill="0" autoLine="0" autoPict="0" altText="">
                <anchor moveWithCells="1">
                  <from>
                    <xdr:col>18</xdr:col>
                    <xdr:colOff>352425</xdr:colOff>
                    <xdr:row>20</xdr:row>
                    <xdr:rowOff>0</xdr:rowOff>
                  </from>
                  <to>
                    <xdr:col>18</xdr:col>
                    <xdr:colOff>400050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2" name="Group Box 17">
              <controlPr defaultSize="0" autoFill="0" autoPict="0" altText="">
                <anchor moveWithCells="1">
                  <from>
                    <xdr:col>8</xdr:col>
                    <xdr:colOff>409575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3" name="Option Button 18">
              <controlPr defaultSize="0" autoFill="0" autoLine="0" autoPict="0">
                <anchor moveWithCells="1">
                  <from>
                    <xdr:col>10</xdr:col>
                    <xdr:colOff>428625</xdr:colOff>
                    <xdr:row>13</xdr:row>
                    <xdr:rowOff>28575</xdr:rowOff>
                  </from>
                  <to>
                    <xdr:col>11</xdr:col>
                    <xdr:colOff>314325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4" name="Option Button 19">
              <controlPr defaultSize="0" autoFill="0" autoLine="0" autoPict="0">
                <anchor moveWithCells="1">
                  <from>
                    <xdr:col>11</xdr:col>
                    <xdr:colOff>438150</xdr:colOff>
                    <xdr:row>13</xdr:row>
                    <xdr:rowOff>28575</xdr:rowOff>
                  </from>
                  <to>
                    <xdr:col>12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5" name="Option Button 20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8</xdr:row>
                    <xdr:rowOff>19050</xdr:rowOff>
                  </from>
                  <to>
                    <xdr:col>22</xdr:col>
                    <xdr:colOff>161925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6" name="Option Button 21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9</xdr:row>
                    <xdr:rowOff>19050</xdr:rowOff>
                  </from>
                  <to>
                    <xdr:col>22</xdr:col>
                    <xdr:colOff>161925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7" name="Option Button 22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10</xdr:row>
                    <xdr:rowOff>19050</xdr:rowOff>
                  </from>
                  <to>
                    <xdr:col>22</xdr:col>
                    <xdr:colOff>161925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8" name="Option Button 23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11</xdr:row>
                    <xdr:rowOff>28575</xdr:rowOff>
                  </from>
                  <to>
                    <xdr:col>21</xdr:col>
                    <xdr:colOff>533400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9" name="Option Button 24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12</xdr:row>
                    <xdr:rowOff>28575</xdr:rowOff>
                  </from>
                  <to>
                    <xdr:col>22</xdr:col>
                    <xdr:colOff>161925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30" name="Option Button 25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13</xdr:row>
                    <xdr:rowOff>38100</xdr:rowOff>
                  </from>
                  <to>
                    <xdr:col>22</xdr:col>
                    <xdr:colOff>161925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1" name="Option Button 26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14</xdr:row>
                    <xdr:rowOff>28575</xdr:rowOff>
                  </from>
                  <to>
                    <xdr:col>22</xdr:col>
                    <xdr:colOff>161925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2" name="Option Button 27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15</xdr:row>
                    <xdr:rowOff>28575</xdr:rowOff>
                  </from>
                  <to>
                    <xdr:col>22</xdr:col>
                    <xdr:colOff>190500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3" name="Option Button 28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16</xdr:row>
                    <xdr:rowOff>28575</xdr:rowOff>
                  </from>
                  <to>
                    <xdr:col>22</xdr:col>
                    <xdr:colOff>161925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4" name="Option Button 29">
              <controlPr defaultSize="0" autoFill="0" autoLine="0" autoPict="0" altText="">
                <anchor moveWithCells="1">
                  <from>
                    <xdr:col>22</xdr:col>
                    <xdr:colOff>333375</xdr:colOff>
                    <xdr:row>17</xdr:row>
                    <xdr:rowOff>28575</xdr:rowOff>
                  </from>
                  <to>
                    <xdr:col>22</xdr:col>
                    <xdr:colOff>485775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5" name="Group Box 30">
              <controlPr defaultSize="0" print="0" autoFill="0" autoPict="0" altText="">
                <anchor moveWithCells="1">
                  <from>
                    <xdr:col>20</xdr:col>
                    <xdr:colOff>0</xdr:colOff>
                    <xdr:row>7</xdr:row>
                    <xdr:rowOff>0</xdr:rowOff>
                  </from>
                  <to>
                    <xdr:col>23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6" name="Option Button 31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18</xdr:row>
                    <xdr:rowOff>19050</xdr:rowOff>
                  </from>
                  <to>
                    <xdr:col>22</xdr:col>
                    <xdr:colOff>161925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7" name="Option Button 32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19</xdr:row>
                    <xdr:rowOff>19050</xdr:rowOff>
                  </from>
                  <to>
                    <xdr:col>22</xdr:col>
                    <xdr:colOff>161925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8" name="Option Button 33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20</xdr:row>
                    <xdr:rowOff>19050</xdr:rowOff>
                  </from>
                  <to>
                    <xdr:col>22</xdr:col>
                    <xdr:colOff>161925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9" name="Option Button 34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21</xdr:row>
                    <xdr:rowOff>19050</xdr:rowOff>
                  </from>
                  <to>
                    <xdr:col>22</xdr:col>
                    <xdr:colOff>161925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40" name="Group Box 35">
              <controlPr defaultSize="0" autoFill="0" autoPict="0" altText="">
                <anchor moveWithCells="1">
                  <from>
                    <xdr:col>8</xdr:col>
                    <xdr:colOff>409575</xdr:colOff>
                    <xdr:row>14</xdr:row>
                    <xdr:rowOff>0</xdr:rowOff>
                  </from>
                  <to>
                    <xdr:col>13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1" name="Option Button 36">
              <controlPr defaultSize="0" autoFill="0" autoLine="0" autoPict="0">
                <anchor moveWithCells="1">
                  <from>
                    <xdr:col>10</xdr:col>
                    <xdr:colOff>428625</xdr:colOff>
                    <xdr:row>14</xdr:row>
                    <xdr:rowOff>28575</xdr:rowOff>
                  </from>
                  <to>
                    <xdr:col>11</xdr:col>
                    <xdr:colOff>314325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2" name="Option Button 37">
              <controlPr defaultSize="0" autoFill="0" autoLine="0" autoPict="0">
                <anchor moveWithCells="1">
                  <from>
                    <xdr:col>11</xdr:col>
                    <xdr:colOff>438150</xdr:colOff>
                    <xdr:row>14</xdr:row>
                    <xdr:rowOff>28575</xdr:rowOff>
                  </from>
                  <to>
                    <xdr:col>12</xdr:col>
                    <xdr:colOff>323850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Option Button 39">
              <controlPr defaultSize="0" autoFill="0" autoLine="0" autoPict="0" altText="">
                <anchor moveWithCells="1">
                  <from>
                    <xdr:col>0</xdr:col>
                    <xdr:colOff>228600</xdr:colOff>
                    <xdr:row>23</xdr:row>
                    <xdr:rowOff>19050</xdr:rowOff>
                  </from>
                  <to>
                    <xdr:col>2</xdr:col>
                    <xdr:colOff>447675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Option Button 40">
              <controlPr defaultSize="0" autoFill="0" autoLine="0" autoPict="0" altText="">
                <anchor moveWithCells="1">
                  <from>
                    <xdr:col>3</xdr:col>
                    <xdr:colOff>409575</xdr:colOff>
                    <xdr:row>19</xdr:row>
                    <xdr:rowOff>9525</xdr:rowOff>
                  </from>
                  <to>
                    <xdr:col>5</xdr:col>
                    <xdr:colOff>361950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Option Button 41">
              <controlPr defaultSize="0" autoFill="0" autoLine="0" autoPict="0" altText="">
                <anchor moveWithCells="1">
                  <from>
                    <xdr:col>3</xdr:col>
                    <xdr:colOff>409575</xdr:colOff>
                    <xdr:row>20</xdr:row>
                    <xdr:rowOff>19050</xdr:rowOff>
                  </from>
                  <to>
                    <xdr:col>5</xdr:col>
                    <xdr:colOff>361950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Option Button 42">
              <controlPr defaultSize="0" autoFill="0" autoLine="0" autoPict="0" altText="">
                <anchor moveWithCells="1">
                  <from>
                    <xdr:col>3</xdr:col>
                    <xdr:colOff>409575</xdr:colOff>
                    <xdr:row>21</xdr:row>
                    <xdr:rowOff>19050</xdr:rowOff>
                  </from>
                  <to>
                    <xdr:col>5</xdr:col>
                    <xdr:colOff>361950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Option Button 43">
              <controlPr defaultSize="0" autoFill="0" autoLine="0" autoPict="0" altText="">
                <anchor moveWithCells="1">
                  <from>
                    <xdr:col>3</xdr:col>
                    <xdr:colOff>409575</xdr:colOff>
                    <xdr:row>22</xdr:row>
                    <xdr:rowOff>19050</xdr:rowOff>
                  </from>
                  <to>
                    <xdr:col>5</xdr:col>
                    <xdr:colOff>361950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Option Button 44">
              <controlPr defaultSize="0" autoFill="0" autoLine="0" autoPict="0">
                <anchor moveWithCells="1" sizeWithCells="1">
                  <from>
                    <xdr:col>3</xdr:col>
                    <xdr:colOff>409575</xdr:colOff>
                    <xdr:row>23</xdr:row>
                    <xdr:rowOff>9525</xdr:rowOff>
                  </from>
                  <to>
                    <xdr:col>5</xdr:col>
                    <xdr:colOff>361950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9" name="Option Button 45">
              <controlPr defaultSize="0" autoFill="0" autoLine="0" autoPict="0" altText="">
                <anchor moveWithCells="1">
                  <from>
                    <xdr:col>6</xdr:col>
                    <xdr:colOff>409575</xdr:colOff>
                    <xdr:row>19</xdr:row>
                    <xdr:rowOff>19050</xdr:rowOff>
                  </from>
                  <to>
                    <xdr:col>8</xdr:col>
                    <xdr:colOff>361950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50" name="Option Button 46">
              <controlPr defaultSize="0" autoFill="0" autoLine="0" autoPict="0" altText="">
                <anchor moveWithCells="1">
                  <from>
                    <xdr:col>6</xdr:col>
                    <xdr:colOff>409575</xdr:colOff>
                    <xdr:row>20</xdr:row>
                    <xdr:rowOff>28575</xdr:rowOff>
                  </from>
                  <to>
                    <xdr:col>8</xdr:col>
                    <xdr:colOff>361950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1" name="Option Button 47">
              <controlPr defaultSize="0" autoFill="0" autoLine="0" autoPict="0" altText="">
                <anchor moveWithCells="1">
                  <from>
                    <xdr:col>6</xdr:col>
                    <xdr:colOff>409575</xdr:colOff>
                    <xdr:row>21</xdr:row>
                    <xdr:rowOff>28575</xdr:rowOff>
                  </from>
                  <to>
                    <xdr:col>8</xdr:col>
                    <xdr:colOff>361950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2" name="Option Button 48">
              <controlPr defaultSize="0" autoFill="0" autoLine="0" autoPict="0" altText="">
                <anchor moveWithCells="1">
                  <from>
                    <xdr:col>6</xdr:col>
                    <xdr:colOff>409575</xdr:colOff>
                    <xdr:row>22</xdr:row>
                    <xdr:rowOff>28575</xdr:rowOff>
                  </from>
                  <to>
                    <xdr:col>8</xdr:col>
                    <xdr:colOff>361950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3" name="Option Button 49">
              <controlPr defaultSize="0" autoFill="0" autoLine="0" autoPict="0" altText="">
                <anchor moveWithCells="1">
                  <from>
                    <xdr:col>6</xdr:col>
                    <xdr:colOff>409575</xdr:colOff>
                    <xdr:row>23</xdr:row>
                    <xdr:rowOff>19050</xdr:rowOff>
                  </from>
                  <to>
                    <xdr:col>8</xdr:col>
                    <xdr:colOff>361950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4" name="Option Button 50">
              <controlPr defaultSize="0" autoFill="0" autoLine="0" autoPict="0" altText="">
                <anchor moveWithCells="1">
                  <from>
                    <xdr:col>9</xdr:col>
                    <xdr:colOff>400050</xdr:colOff>
                    <xdr:row>19</xdr:row>
                    <xdr:rowOff>9525</xdr:rowOff>
                  </from>
                  <to>
                    <xdr:col>11</xdr:col>
                    <xdr:colOff>352425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5" name="Option Button 51">
              <controlPr defaultSize="0" autoFill="0" autoLine="0" autoPict="0" altText="">
                <anchor moveWithCells="1">
                  <from>
                    <xdr:col>9</xdr:col>
                    <xdr:colOff>400050</xdr:colOff>
                    <xdr:row>20</xdr:row>
                    <xdr:rowOff>19050</xdr:rowOff>
                  </from>
                  <to>
                    <xdr:col>11</xdr:col>
                    <xdr:colOff>352425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6" name="Option Button 52">
              <controlPr defaultSize="0" autoFill="0" autoLine="0" autoPict="0" altText="">
                <anchor moveWithCells="1">
                  <from>
                    <xdr:col>9</xdr:col>
                    <xdr:colOff>400050</xdr:colOff>
                    <xdr:row>21</xdr:row>
                    <xdr:rowOff>19050</xdr:rowOff>
                  </from>
                  <to>
                    <xdr:col>11</xdr:col>
                    <xdr:colOff>352425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7" name="Option Button 53">
              <controlPr defaultSize="0" autoFill="0" autoLine="0" autoPict="0" altText="">
                <anchor moveWithCells="1">
                  <from>
                    <xdr:col>9</xdr:col>
                    <xdr:colOff>400050</xdr:colOff>
                    <xdr:row>22</xdr:row>
                    <xdr:rowOff>19050</xdr:rowOff>
                  </from>
                  <to>
                    <xdr:col>11</xdr:col>
                    <xdr:colOff>352425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8" name="Option Button 54">
              <controlPr defaultSize="0" autoFill="0" autoLine="0" autoPict="0" altText="">
                <anchor moveWithCells="1">
                  <from>
                    <xdr:col>9</xdr:col>
                    <xdr:colOff>400050</xdr:colOff>
                    <xdr:row>23</xdr:row>
                    <xdr:rowOff>19050</xdr:rowOff>
                  </from>
                  <to>
                    <xdr:col>11</xdr:col>
                    <xdr:colOff>352425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9" name="Option Button 55">
              <controlPr defaultSize="0" autoFill="0" autoLine="0" autoPict="0" altText="">
                <anchor moveWithCells="1">
                  <from>
                    <xdr:col>12</xdr:col>
                    <xdr:colOff>419100</xdr:colOff>
                    <xdr:row>19</xdr:row>
                    <xdr:rowOff>9525</xdr:rowOff>
                  </from>
                  <to>
                    <xdr:col>14</xdr:col>
                    <xdr:colOff>371475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60" name="Option Button 56">
              <controlPr defaultSize="0" autoFill="0" autoLine="0" autoPict="0" altText="">
                <anchor moveWithCells="1">
                  <from>
                    <xdr:col>12</xdr:col>
                    <xdr:colOff>419100</xdr:colOff>
                    <xdr:row>20</xdr:row>
                    <xdr:rowOff>19050</xdr:rowOff>
                  </from>
                  <to>
                    <xdr:col>14</xdr:col>
                    <xdr:colOff>371475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1" name="Option Button 57">
              <controlPr defaultSize="0" autoFill="0" autoLine="0" autoPict="0" altText="">
                <anchor moveWithCells="1">
                  <from>
                    <xdr:col>12</xdr:col>
                    <xdr:colOff>409575</xdr:colOff>
                    <xdr:row>22</xdr:row>
                    <xdr:rowOff>9525</xdr:rowOff>
                  </from>
                  <to>
                    <xdr:col>14</xdr:col>
                    <xdr:colOff>361950</xdr:colOff>
                    <xdr:row>22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01"/>
  <sheetViews>
    <sheetView showGridLines="0" showZeros="0" zoomScaleNormal="100" zoomScaleSheetLayoutView="100" workbookViewId="0">
      <selection activeCell="B38" sqref="B38"/>
    </sheetView>
  </sheetViews>
  <sheetFormatPr baseColWidth="10" defaultColWidth="0" defaultRowHeight="0" customHeight="1" zeroHeight="1" x14ac:dyDescent="0.25"/>
  <cols>
    <col min="1" max="1" width="4.7109375" style="1" customWidth="1"/>
    <col min="2" max="23" width="8.7109375" style="1" customWidth="1"/>
    <col min="24" max="24" width="8.7109375" style="2" customWidth="1"/>
    <col min="25" max="25" width="5.28515625" style="1" customWidth="1"/>
    <col min="26" max="16384" width="11.42578125" style="1" hidden="1"/>
  </cols>
  <sheetData>
    <row r="1" spans="2:33" ht="27.75" x14ac:dyDescent="0.25">
      <c r="X1" s="27" t="str">
        <f>VLOOKUP("PREFA FASSADENSYSTEME",Sprachindex!$A:$W,$Z$7,FALSE)</f>
        <v>FAÇADES PREFA</v>
      </c>
    </row>
    <row r="2" spans="2:33" ht="27.75" x14ac:dyDescent="0.25">
      <c r="E2" s="28"/>
      <c r="X2" s="27" t="str">
        <f>VLOOKUP("SIDING",Sprachindex!$A:$W,$Z$7,FALSE)</f>
        <v>SIDING</v>
      </c>
    </row>
    <row r="3" spans="2:33" ht="15" customHeight="1" x14ac:dyDescent="0.25"/>
    <row r="4" spans="2:33" ht="17.25" customHeight="1" x14ac:dyDescent="0.25">
      <c r="T4" s="83" t="str">
        <f>VLOOKUP("RETOURNIERUNG PER FAX:",Sprachindex!$A:$W,$Z$7,FALSE)</f>
        <v>À RENVOYER PAR FAX :</v>
      </c>
      <c r="U4" s="159"/>
      <c r="V4" s="160"/>
      <c r="W4" s="160"/>
      <c r="X4" s="161"/>
    </row>
    <row r="5" spans="2:33" ht="17.25" customHeight="1" x14ac:dyDescent="0.25">
      <c r="T5" s="83" t="str">
        <f>VLOOKUP("ODER EMAIL:",Sprachindex!$A:$W,$Z$7,FALSE)</f>
        <v>OU PAR COURRIEL :</v>
      </c>
      <c r="U5" s="159"/>
      <c r="V5" s="160"/>
      <c r="W5" s="160"/>
      <c r="X5" s="161"/>
      <c r="AC5" s="1">
        <v>1</v>
      </c>
    </row>
    <row r="6" spans="2:33" ht="17.25" customHeight="1" x14ac:dyDescent="0.25">
      <c r="Q6" s="82">
        <v>3</v>
      </c>
      <c r="T6" s="83" t="str">
        <f>VLOOKUP("Datum:",Sprachindex!$A:$W,$Z$7,FALSE)</f>
        <v>Date :</v>
      </c>
      <c r="U6" s="159"/>
      <c r="V6" s="160"/>
      <c r="W6" s="160"/>
      <c r="X6" s="161"/>
      <c r="AC6" s="1">
        <v>2</v>
      </c>
      <c r="AG6" s="1">
        <v>8</v>
      </c>
    </row>
    <row r="7" spans="2:33" ht="17.25" customHeight="1" x14ac:dyDescent="0.25">
      <c r="B7" s="77" t="str">
        <f>VLOOKUP("Firma / Besteller:",Sprachindex!$A:$W,$Z$7,FALSE)</f>
        <v>Entreprise / Acheteur :</v>
      </c>
      <c r="M7" s="21">
        <v>1</v>
      </c>
      <c r="Q7" s="82"/>
      <c r="Z7" s="68">
        <v>3</v>
      </c>
      <c r="AA7" s="1" t="s">
        <v>225</v>
      </c>
      <c r="AC7" s="1">
        <v>3</v>
      </c>
    </row>
    <row r="8" spans="2:33" ht="15" customHeight="1" x14ac:dyDescent="0.25">
      <c r="C8" s="72" t="str">
        <f>VLOOKUP("Name:",Sprachindex!$A:$W,$Z$7,FALSE)</f>
        <v>Nom :</v>
      </c>
      <c r="D8" s="159"/>
      <c r="E8" s="160"/>
      <c r="F8" s="160"/>
      <c r="G8" s="160"/>
      <c r="H8" s="161"/>
      <c r="J8" s="74" t="str">
        <f>VLOOKUP("Service:",Sprachindex!$A:$W,$Z$7,FALSE)</f>
        <v>Service :</v>
      </c>
      <c r="K8" s="63"/>
      <c r="L8" s="63"/>
      <c r="M8" s="63"/>
      <c r="N8" s="63"/>
      <c r="O8" s="63"/>
      <c r="P8" s="63"/>
      <c r="Q8" s="63"/>
      <c r="R8" s="63"/>
      <c r="S8" s="63"/>
      <c r="T8" s="2"/>
      <c r="U8" s="192" t="str">
        <f>VLOOKUP("Sprache",Sprachindex!$A:$W,$Z$7,FALSE)</f>
        <v>Langue</v>
      </c>
      <c r="V8" s="193"/>
      <c r="W8" s="194"/>
      <c r="Z8" s="68">
        <v>0</v>
      </c>
      <c r="AA8" s="1" t="s">
        <v>223</v>
      </c>
      <c r="AC8" s="1">
        <v>4</v>
      </c>
    </row>
    <row r="9" spans="2:33" ht="15" customHeight="1" x14ac:dyDescent="0.25">
      <c r="C9" s="72" t="str">
        <f>VLOOKUP("Plz + Ort:",Sprachindex!$A:$W,$Z$7,FALSE)</f>
        <v>Code postal + ville :</v>
      </c>
      <c r="D9" s="159"/>
      <c r="E9" s="160"/>
      <c r="F9" s="160"/>
      <c r="G9" s="160"/>
      <c r="H9" s="161"/>
      <c r="J9" s="63"/>
      <c r="K9" s="63"/>
      <c r="L9" s="80" t="str">
        <f>VLOOKUP("Mengenermittlung/Anfrage",Sprachindex!$A:$W,$Z$7,FALSE)</f>
        <v>Question / Quantités requises</v>
      </c>
      <c r="M9" s="70"/>
      <c r="N9" s="63"/>
      <c r="O9" s="70"/>
      <c r="P9" s="63"/>
      <c r="Q9" s="61"/>
      <c r="R9" s="63" t="str">
        <f>VLOOKUP("Bestellung",Sprachindex!$A:$W,$Z$7,FALSE)</f>
        <v>Commande</v>
      </c>
      <c r="S9" s="63"/>
      <c r="T9" s="2"/>
      <c r="U9" s="78"/>
      <c r="V9" s="186" t="s">
        <v>222</v>
      </c>
      <c r="W9" s="187"/>
      <c r="AC9" s="1">
        <v>5</v>
      </c>
    </row>
    <row r="10" spans="2:33" ht="15" customHeight="1" x14ac:dyDescent="0.25">
      <c r="C10" s="72"/>
      <c r="D10" s="162"/>
      <c r="E10" s="162"/>
      <c r="F10" s="162"/>
      <c r="G10" s="162"/>
      <c r="H10" s="162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2"/>
      <c r="U10" s="78"/>
      <c r="V10" s="186" t="s">
        <v>221</v>
      </c>
      <c r="W10" s="187"/>
      <c r="Z10" s="68">
        <v>1</v>
      </c>
      <c r="AA10" s="1" t="s">
        <v>220</v>
      </c>
      <c r="AC10" s="1">
        <v>6</v>
      </c>
    </row>
    <row r="11" spans="2:33" ht="15" customHeight="1" x14ac:dyDescent="0.25">
      <c r="C11" s="72" t="str">
        <f>VLOOKUP("Bauvorhaben:",Sprachindex!$A:$W,$Z$7,FALSE)</f>
        <v>Projet:</v>
      </c>
      <c r="D11" s="159"/>
      <c r="E11" s="160"/>
      <c r="F11" s="160"/>
      <c r="G11" s="160"/>
      <c r="H11" s="161"/>
      <c r="J11" s="73" t="str">
        <f>VLOOKUP("Oberfläche:",Sprachindex!$A:$W,$Z$7,FALSE)</f>
        <v>Surface :</v>
      </c>
      <c r="K11" s="63"/>
      <c r="L11" s="63"/>
      <c r="M11" s="63"/>
      <c r="N11" s="63"/>
      <c r="O11" s="63"/>
      <c r="P11" s="63"/>
      <c r="Q11" s="63"/>
      <c r="R11" s="63"/>
      <c r="S11" s="63"/>
      <c r="T11" s="2"/>
      <c r="U11" s="78"/>
      <c r="V11" s="186" t="s">
        <v>219</v>
      </c>
      <c r="W11" s="187"/>
      <c r="AC11" s="1">
        <v>7</v>
      </c>
    </row>
    <row r="12" spans="2:33" ht="15" customHeight="1" x14ac:dyDescent="0.25">
      <c r="C12" s="72" t="str">
        <f>VLOOKUP("Ansprechpartner:",Sprachindex!$A:$W,$Z$7,FALSE)</f>
        <v>Interlocuteur :</v>
      </c>
      <c r="D12" s="181"/>
      <c r="E12" s="182"/>
      <c r="F12" s="182"/>
      <c r="G12" s="182"/>
      <c r="H12" s="183"/>
      <c r="J12" s="63"/>
      <c r="K12" s="63"/>
      <c r="L12" s="80" t="str">
        <f>VLOOKUP("glatt",Sprachindex!$A:$W,$Z$7,FALSE)</f>
        <v>lisse</v>
      </c>
      <c r="M12" s="79">
        <v>1</v>
      </c>
      <c r="N12" s="63"/>
      <c r="O12" s="70"/>
      <c r="P12" s="63"/>
      <c r="Q12" s="61">
        <v>1</v>
      </c>
      <c r="R12" s="63"/>
      <c r="S12" s="63"/>
      <c r="T12" s="2"/>
      <c r="U12" s="78"/>
      <c r="V12" s="177" t="s">
        <v>218</v>
      </c>
      <c r="W12" s="178"/>
      <c r="Z12" s="68">
        <v>0</v>
      </c>
      <c r="AA12" s="1" t="s">
        <v>217</v>
      </c>
      <c r="AC12" s="1">
        <v>8</v>
      </c>
    </row>
    <row r="13" spans="2:33" ht="15" customHeight="1" x14ac:dyDescent="0.25">
      <c r="C13" s="76"/>
      <c r="D13" s="162"/>
      <c r="E13" s="162"/>
      <c r="F13" s="162"/>
      <c r="G13" s="162"/>
      <c r="H13" s="162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2"/>
      <c r="U13" s="69"/>
      <c r="V13" s="186" t="s">
        <v>216</v>
      </c>
      <c r="W13" s="187"/>
      <c r="AC13" s="1">
        <v>9</v>
      </c>
    </row>
    <row r="14" spans="2:33" ht="15" customHeight="1" x14ac:dyDescent="0.25">
      <c r="B14" s="77" t="str">
        <f>VLOOKUP("Lieferadresse:",Sprachindex!$A:$W,$Z$7,FALSE)</f>
        <v>Adresse de livraison :</v>
      </c>
      <c r="C14" s="76"/>
      <c r="D14" s="75"/>
      <c r="E14" s="75"/>
      <c r="F14" s="75"/>
      <c r="G14" s="75"/>
      <c r="H14" s="75"/>
      <c r="J14" s="73" t="str">
        <f>VLOOKUP("Fuge:",Sprachindex!$A:$W,$Z$7,FALSE)</f>
        <v>Jointure :</v>
      </c>
      <c r="K14" s="63"/>
      <c r="L14" s="70" t="str">
        <f>VLOOKUP("ja",Sprachindex!$A:$W,$Z$7,FALSE)</f>
        <v>oui</v>
      </c>
      <c r="M14" s="70" t="str">
        <f>VLOOKUP("nein",Sprachindex!A:W,$Z$7,FALSE)</f>
        <v>non</v>
      </c>
      <c r="O14" s="188" t="str">
        <f>IF(AND(Z12=1,OR(Z15=2,Z18=2)),VLOOKUP("Nur mit Endabkantung und Schattenfuge möglich",Sprachindex!$A:$W,$Z$7,FALSE),IF(AND(Z18=0,Z12&gt;0),VLOOKUP("Bitte zuerst Ausführung der Schattenfuge auswählen",Sprachindex!$A:$W,$Z$7,FALSE),""))</f>
        <v/>
      </c>
      <c r="P14" s="188"/>
      <c r="Q14" s="188"/>
      <c r="R14" s="188"/>
      <c r="S14" s="188"/>
      <c r="T14" s="2"/>
      <c r="U14" s="69"/>
      <c r="V14" s="186" t="s">
        <v>215</v>
      </c>
      <c r="W14" s="187"/>
      <c r="AC14" s="1">
        <v>10</v>
      </c>
    </row>
    <row r="15" spans="2:33" ht="15" customHeight="1" x14ac:dyDescent="0.25">
      <c r="C15" s="72" t="str">
        <f>VLOOKUP("Plz + Ort:",Sprachindex!$A:$W,$Z$7,FALSE)</f>
        <v>Code postal + ville :</v>
      </c>
      <c r="D15" s="159"/>
      <c r="E15" s="160"/>
      <c r="F15" s="160"/>
      <c r="G15" s="160"/>
      <c r="H15" s="161"/>
      <c r="J15" s="74" t="str">
        <f>VLOOKUP("Endabkantung:",Sprachindex!$A:$W,$Z$7,FALSE)</f>
        <v>Pliure de rebord :</v>
      </c>
      <c r="K15" s="63"/>
      <c r="L15" s="70" t="str">
        <f>IF(AND(Z12=1,Z15=2),"-",VLOOKUP("ja",Sprachindex!$A:$W,$Z$7,FALSE))</f>
        <v>oui</v>
      </c>
      <c r="M15" s="70" t="str">
        <f>IF(AND(Z12=1,Z15=2),VLOOKUP("ja",Sprachindex!$A:$W,$Z$7,FALSE),VLOOKUP("nein",Sprachindex!A:W,$Z$7,FALSE))</f>
        <v>non</v>
      </c>
      <c r="N15" s="72"/>
      <c r="O15" s="188"/>
      <c r="P15" s="188"/>
      <c r="Q15" s="188"/>
      <c r="R15" s="188"/>
      <c r="S15" s="188"/>
      <c r="T15" s="2"/>
      <c r="U15" s="69"/>
      <c r="V15" s="186" t="s">
        <v>214</v>
      </c>
      <c r="W15" s="187"/>
      <c r="Z15" s="68">
        <v>0</v>
      </c>
      <c r="AA15" s="1" t="s">
        <v>213</v>
      </c>
      <c r="AC15" s="1">
        <v>11</v>
      </c>
    </row>
    <row r="16" spans="2:33" ht="15" customHeight="1" x14ac:dyDescent="0.25">
      <c r="C16" s="72" t="str">
        <f>VLOOKUP("Straße:",Sprachindex!$A:$W,$Z$7,FALSE)</f>
        <v>Adresse :</v>
      </c>
      <c r="D16" s="159"/>
      <c r="E16" s="160"/>
      <c r="F16" s="160"/>
      <c r="G16" s="160"/>
      <c r="H16" s="161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2"/>
      <c r="U16" s="69"/>
      <c r="V16" s="177" t="s">
        <v>212</v>
      </c>
      <c r="W16" s="178"/>
      <c r="AC16" s="1">
        <v>12</v>
      </c>
    </row>
    <row r="17" spans="1:33" ht="15" customHeight="1" x14ac:dyDescent="0.25">
      <c r="C17" s="72" t="str">
        <f>VLOOKUP("Ansprechpartner:",Sprachindex!$A:$W,$Z$7,FALSE)</f>
        <v>Interlocuteur :</v>
      </c>
      <c r="D17" s="159"/>
      <c r="E17" s="160"/>
      <c r="F17" s="160"/>
      <c r="G17" s="160"/>
      <c r="H17" s="161"/>
      <c r="J17" s="73" t="str">
        <f>VLOOKUP("Schattenfuge:",Sprachindex!$A:$W,$Z$7,FALSE)</f>
        <v>joint creux :</v>
      </c>
      <c r="K17" s="63"/>
      <c r="L17" s="63"/>
      <c r="M17" s="63"/>
      <c r="N17" s="63"/>
      <c r="O17" s="63"/>
      <c r="P17" s="63"/>
      <c r="Q17" s="63"/>
      <c r="R17" s="63"/>
      <c r="S17" s="63"/>
      <c r="U17" s="69"/>
      <c r="V17" s="177" t="s">
        <v>211</v>
      </c>
      <c r="W17" s="178"/>
      <c r="AC17" s="1">
        <v>13</v>
      </c>
    </row>
    <row r="18" spans="1:33" ht="15" customHeight="1" x14ac:dyDescent="0.25">
      <c r="C18" s="72" t="str">
        <f>VLOOKUP("Telefon:",Sprachindex!$A:$W,$Z$7,FALSE)</f>
        <v>Téléphone :</v>
      </c>
      <c r="D18" s="159"/>
      <c r="E18" s="160"/>
      <c r="F18" s="160"/>
      <c r="G18" s="160"/>
      <c r="H18" s="161"/>
      <c r="J18" s="63"/>
      <c r="K18" s="63"/>
      <c r="L18" s="63"/>
      <c r="M18" s="63"/>
      <c r="N18" s="72" t="str">
        <f>VLOOKUP("Schattenfuge 15 mm breit, 7 mm tief:",Sprachindex!$A:$W,$Z$7,FALSE)</f>
        <v>joint creux de 15 mm (larg.) sur 7 mm (prof.) :</v>
      </c>
      <c r="O18" s="63"/>
      <c r="P18" s="70" t="str">
        <f>IF(AND(Z12=1,Z18=2),"-",VLOOKUP("ja",Sprachindex!$A:$W,$Z$7,FALSE))</f>
        <v>oui</v>
      </c>
      <c r="Q18" s="70"/>
      <c r="R18" s="70" t="str">
        <f>IF(AND(Z12=1,Z18=2),VLOOKUP("ja",Sprachindex!$A:$W,$Z$7,FALSE),VLOOKUP("nein",Sprachindex!A:W,$Z$7,FALSE))</f>
        <v>non</v>
      </c>
      <c r="S18" s="63"/>
      <c r="T18" s="2"/>
      <c r="U18" s="69"/>
      <c r="V18" s="184" t="s">
        <v>210</v>
      </c>
      <c r="W18" s="185"/>
      <c r="Z18" s="68">
        <v>0</v>
      </c>
      <c r="AA18" s="1" t="s">
        <v>209</v>
      </c>
    </row>
    <row r="19" spans="1:33" ht="15" customHeight="1" x14ac:dyDescent="0.25">
      <c r="U19" s="69"/>
      <c r="V19" s="177" t="s">
        <v>208</v>
      </c>
      <c r="W19" s="178"/>
    </row>
    <row r="20" spans="1:33" ht="15" customHeight="1" x14ac:dyDescent="0.25">
      <c r="B20" s="71" t="str">
        <f>VLOOKUP("Farbe:",Sprachindex!$A:$W,$Z$7,FALSE)</f>
        <v>Couleur :</v>
      </c>
      <c r="D20" s="65" t="str">
        <f>VLOOKUP("02 P.10 anthrazit",Sprachindex!$A:$W,$Z$7,FALSE)</f>
        <v>02 P.10 anthracite</v>
      </c>
      <c r="F20" s="63"/>
      <c r="G20" s="65" t="str">
        <f>VLOOKUP("10 P.10 prefaweiß",Sprachindex!$A:$W,$Z$7,FALSE)</f>
        <v>10 P.10 blanc prefa</v>
      </c>
      <c r="H20" s="70"/>
      <c r="I20" s="61"/>
      <c r="J20" s="70" t="str">
        <f>VLOOKUP("19 P.10 dunkelgrau",Sprachindex!$A:$W,$Z$7,FALSE)</f>
        <v>19 P.10 gris sombre</v>
      </c>
      <c r="K20" s="63"/>
      <c r="L20" s="64"/>
      <c r="N20" s="70"/>
      <c r="O20" s="63"/>
      <c r="P20" s="63"/>
      <c r="R20" s="63"/>
      <c r="S20" s="63"/>
      <c r="U20" s="69"/>
      <c r="V20" s="177" t="s">
        <v>207</v>
      </c>
      <c r="W20" s="178"/>
      <c r="Z20" s="68">
        <v>0</v>
      </c>
      <c r="AA20" s="1" t="s">
        <v>206</v>
      </c>
    </row>
    <row r="21" spans="1:33" ht="15" customHeight="1" x14ac:dyDescent="0.25">
      <c r="C21" s="63"/>
      <c r="D21" s="65" t="str">
        <f>VLOOKUP("07 P.10 hellgrau",Sprachindex!$A:$W,$Z$7,FALSE)</f>
        <v>07 P.10 gris souris</v>
      </c>
      <c r="F21" s="63"/>
      <c r="G21" s="65" t="str">
        <f>VLOOKUP("12 silbermetallic",Sprachindex!$A:$W,$Z$7,FALSE)</f>
        <v>12 argent métallisé</v>
      </c>
      <c r="H21" s="64"/>
      <c r="I21" s="61"/>
      <c r="J21" s="63" t="str">
        <f>VLOOKUP("20 rauchsilber",Sprachindex!$A:$W,$Z$7,FALSE)</f>
        <v>20 argent fumé</v>
      </c>
      <c r="K21" s="63"/>
      <c r="L21" s="63"/>
      <c r="N21" s="64"/>
      <c r="O21" s="63"/>
      <c r="R21" s="63"/>
      <c r="S21" s="63"/>
      <c r="U21" s="67"/>
      <c r="V21" s="189" t="s">
        <v>205</v>
      </c>
      <c r="W21" s="190"/>
      <c r="X21" s="1"/>
      <c r="AC21" s="1" t="e">
        <f>VLOOKUP("keines",Sprachindex!$A:$W,$Z$7,FALSE)</f>
        <v>#N/A</v>
      </c>
    </row>
    <row r="22" spans="1:33" ht="15" customHeight="1" x14ac:dyDescent="0.25">
      <c r="C22" s="63"/>
      <c r="D22" s="63"/>
      <c r="E22" s="64"/>
      <c r="F22" s="63"/>
      <c r="G22" s="63"/>
      <c r="H22" s="64"/>
      <c r="I22" s="61"/>
      <c r="J22" s="63"/>
      <c r="K22" s="63"/>
      <c r="L22" s="63"/>
      <c r="M22" s="63"/>
      <c r="O22" s="61"/>
      <c r="R22" s="63"/>
      <c r="S22" s="63"/>
      <c r="U22" s="66"/>
      <c r="V22" s="206" t="s">
        <v>204</v>
      </c>
      <c r="W22" s="207"/>
      <c r="X22" s="1"/>
    </row>
    <row r="23" spans="1:33" ht="15" customHeight="1" x14ac:dyDescent="0.25">
      <c r="C23" s="63"/>
      <c r="D23" s="63"/>
      <c r="E23" s="64"/>
      <c r="F23" s="63"/>
      <c r="G23" s="63"/>
      <c r="H23" s="64"/>
      <c r="I23" s="62"/>
      <c r="J23" s="63"/>
      <c r="K23" s="63"/>
      <c r="L23" s="63"/>
      <c r="M23" s="63"/>
      <c r="N23" s="64"/>
      <c r="O23" s="61"/>
      <c r="R23" s="63"/>
      <c r="S23" s="63"/>
      <c r="U23" s="1" t="str">
        <f>VLOOKUP("Verlegeschema",Sprachindex!$A:$W,$Z$7,FALSE) &amp; ":"</f>
        <v>plan:</v>
      </c>
      <c r="X23" s="1"/>
    </row>
    <row r="24" spans="1:33" ht="15" customHeight="1" x14ac:dyDescent="0.25">
      <c r="C24" s="63"/>
      <c r="D24" s="63"/>
      <c r="E24" s="63"/>
      <c r="F24" s="63"/>
      <c r="G24" s="63"/>
      <c r="H24" s="63"/>
      <c r="I24" s="61"/>
      <c r="J24" s="63"/>
      <c r="K24" s="64"/>
      <c r="L24" s="63"/>
      <c r="O24" s="62"/>
      <c r="P24" s="61"/>
      <c r="Q24" s="61"/>
      <c r="R24" s="61"/>
      <c r="S24" s="61"/>
      <c r="T24" s="59"/>
      <c r="U24" s="60"/>
      <c r="V24" s="59"/>
      <c r="W24" s="59"/>
      <c r="X24" s="58"/>
    </row>
    <row r="25" spans="1:33" ht="5.0999999999999996" customHeight="1" x14ac:dyDescent="0.25">
      <c r="B25" s="57"/>
      <c r="C25" s="33"/>
      <c r="D25" s="33"/>
      <c r="E25" s="33"/>
      <c r="F25" s="33"/>
      <c r="G25" s="33"/>
      <c r="H25" s="33"/>
      <c r="U25" s="56"/>
      <c r="V25" s="56"/>
    </row>
    <row r="26" spans="1:33" ht="15" customHeight="1" x14ac:dyDescent="0.25">
      <c r="A26" s="135" t="str">
        <f>VLOOKUP("Hinweis: Kombination von unterschiedlichen Baubreiten muss in der Materialstärke der größeren Baubreite ausgeführt werden.",Sprachindex!$A:$W,$Z$7,FALSE)</f>
        <v>Remarque : Lorsque l’on combine différentes largeurs utiles, l’épaisseur du matériau doit correspondre à celle de la plus grande largeur utile.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</row>
    <row r="27" spans="1:33" ht="5.0999999999999996" customHeight="1" x14ac:dyDescent="0.25">
      <c r="B27" s="57"/>
      <c r="C27" s="33"/>
      <c r="D27" s="33"/>
      <c r="E27" s="33"/>
      <c r="F27" s="33"/>
      <c r="G27" s="33"/>
      <c r="H27" s="33"/>
      <c r="U27" s="56"/>
      <c r="V27" s="56"/>
    </row>
    <row r="28" spans="1:33" ht="18.75" x14ac:dyDescent="0.25">
      <c r="B28" s="138" t="str">
        <f>IF(Z10=0,VLOOKUP("Stückliste Siding",Sprachindex!$A:$W,$Z$7,FALSE),VLOOKUP("Stückliste Siding",Sprachindex!$A:$W,$Z$7,FALSE))</f>
        <v>Nomemclature – siding</v>
      </c>
      <c r="C28" s="139"/>
      <c r="D28" s="139"/>
      <c r="E28" s="133" t="s">
        <v>1703</v>
      </c>
      <c r="F28" s="134"/>
      <c r="G28" s="33"/>
      <c r="H28" s="138" t="str">
        <f>IF(Z10=0,VLOOKUP("Stückliste Siding",Sprachindex!$A:$W,$Z$7,FALSE),VLOOKUP("Stückliste Siding",Sprachindex!$A:$W,$Z$7,FALSE))</f>
        <v>Nomemclature – siding</v>
      </c>
      <c r="I28" s="139"/>
      <c r="J28" s="139"/>
      <c r="K28" s="133" t="s">
        <v>1704</v>
      </c>
      <c r="L28" s="134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</row>
    <row r="29" spans="1:33" ht="14.1" customHeight="1" x14ac:dyDescent="0.25">
      <c r="B29" s="136" t="str">
        <f>VLOOKUP("Pos",Sprachindex!$A:$W,$Z$7,FALSE)</f>
        <v>N°</v>
      </c>
      <c r="C29" s="197" t="str">
        <f>VLOOKUP("Stk",Sprachindex!$A:$W,$Z$7,FALSE)</f>
        <v>pc.</v>
      </c>
      <c r="D29" s="55" t="str">
        <f>VLOOKUP("Länge",Sprachindex!$A:$W,$Z$7,FALSE)</f>
        <v>Longueur</v>
      </c>
      <c r="E29" s="129" t="str">
        <f>VLOOKUP("m²",Sprachindex!$A:$W,$Z$7,FALSE)</f>
        <v>m²</v>
      </c>
      <c r="F29" s="130"/>
      <c r="G29" s="33"/>
      <c r="H29" s="136" t="str">
        <f>VLOOKUP("Pos",Sprachindex!$A:$W,$Z$7,FALSE)</f>
        <v>N°</v>
      </c>
      <c r="I29" s="197" t="str">
        <f>VLOOKUP("Stk",Sprachindex!$A:$W,$Z$7,FALSE)</f>
        <v>pc.</v>
      </c>
      <c r="J29" s="55" t="str">
        <f>VLOOKUP("Länge",Sprachindex!$A:$W,$Z$7,FALSE)</f>
        <v>Longueur</v>
      </c>
      <c r="K29" s="129" t="s">
        <v>203</v>
      </c>
      <c r="L29" s="130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</row>
    <row r="30" spans="1:33" ht="14.1" customHeight="1" x14ac:dyDescent="0.2">
      <c r="B30" s="137"/>
      <c r="C30" s="198"/>
      <c r="D30" s="54" t="str">
        <f>VLOOKUP("[in mm]",Sprachindex!$A:$W,$Z$7,FALSE)</f>
        <v>[en mm]</v>
      </c>
      <c r="E30" s="131"/>
      <c r="F30" s="132"/>
      <c r="G30" s="33"/>
      <c r="H30" s="137"/>
      <c r="I30" s="198"/>
      <c r="J30" s="54" t="str">
        <f>VLOOKUP("[in mm]",Sprachindex!$A:$W,$Z$7,FALSE)</f>
        <v>[en mm]</v>
      </c>
      <c r="K30" s="131"/>
      <c r="L30" s="132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AG30" s="25"/>
    </row>
    <row r="31" spans="1:33" ht="14.1" customHeight="1" x14ac:dyDescent="0.25">
      <c r="B31" s="53"/>
      <c r="C31" s="52"/>
      <c r="D31" s="52"/>
      <c r="E31" s="195">
        <f>C31*D31*500/1000000</f>
        <v>0</v>
      </c>
      <c r="F31" s="196"/>
      <c r="G31" s="40"/>
      <c r="H31" s="51"/>
      <c r="I31" s="50"/>
      <c r="J31" s="50"/>
      <c r="K31" s="179">
        <f t="shared" ref="K31:K55" si="0">I31*J31*600/1000000</f>
        <v>0</v>
      </c>
      <c r="L31" s="180"/>
      <c r="M31" s="49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</row>
    <row r="32" spans="1:33" ht="14.1" customHeight="1" x14ac:dyDescent="0.25">
      <c r="B32" s="45"/>
      <c r="C32" s="44"/>
      <c r="D32" s="44"/>
      <c r="E32" s="125">
        <f>C32*D32*500/1000000</f>
        <v>0</v>
      </c>
      <c r="F32" s="126"/>
      <c r="G32" s="40"/>
      <c r="H32" s="45"/>
      <c r="I32" s="44"/>
      <c r="J32" s="44"/>
      <c r="K32" s="125">
        <f t="shared" si="0"/>
        <v>0</v>
      </c>
      <c r="L32" s="126"/>
      <c r="M32" s="49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</row>
    <row r="33" spans="2:24" ht="14.1" customHeight="1" x14ac:dyDescent="0.25">
      <c r="B33" s="45"/>
      <c r="C33" s="44"/>
      <c r="D33" s="44"/>
      <c r="E33" s="125">
        <f t="shared" ref="E33:E54" si="1">C33*D33*500/1000000</f>
        <v>0</v>
      </c>
      <c r="F33" s="126"/>
      <c r="G33" s="40"/>
      <c r="H33" s="45"/>
      <c r="I33" s="44"/>
      <c r="J33" s="44"/>
      <c r="K33" s="125">
        <f t="shared" si="0"/>
        <v>0</v>
      </c>
      <c r="L33" s="126"/>
      <c r="M33" s="49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</row>
    <row r="34" spans="2:24" ht="14.1" customHeight="1" x14ac:dyDescent="0.25">
      <c r="B34" s="45"/>
      <c r="C34" s="44"/>
      <c r="D34" s="44"/>
      <c r="E34" s="125">
        <f t="shared" si="1"/>
        <v>0</v>
      </c>
      <c r="F34" s="126"/>
      <c r="G34" s="40"/>
      <c r="H34" s="45"/>
      <c r="I34" s="44"/>
      <c r="J34" s="44"/>
      <c r="K34" s="125">
        <f t="shared" si="0"/>
        <v>0</v>
      </c>
      <c r="L34" s="126"/>
      <c r="M34" s="49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</row>
    <row r="35" spans="2:24" ht="14.1" customHeight="1" x14ac:dyDescent="0.25">
      <c r="B35" s="45"/>
      <c r="C35" s="44"/>
      <c r="D35" s="44"/>
      <c r="E35" s="125">
        <f t="shared" si="1"/>
        <v>0</v>
      </c>
      <c r="F35" s="126"/>
      <c r="G35" s="40"/>
      <c r="H35" s="45"/>
      <c r="I35" s="44"/>
      <c r="J35" s="44"/>
      <c r="K35" s="125">
        <f t="shared" si="0"/>
        <v>0</v>
      </c>
      <c r="L35" s="126"/>
      <c r="M35" s="40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</row>
    <row r="36" spans="2:24" ht="14.1" customHeight="1" x14ac:dyDescent="0.25">
      <c r="B36" s="45"/>
      <c r="C36" s="44"/>
      <c r="D36" s="44"/>
      <c r="E36" s="125">
        <f t="shared" si="1"/>
        <v>0</v>
      </c>
      <c r="F36" s="126"/>
      <c r="G36" s="41"/>
      <c r="H36" s="45"/>
      <c r="I36" s="44"/>
      <c r="J36" s="44"/>
      <c r="K36" s="125">
        <f t="shared" si="0"/>
        <v>0</v>
      </c>
      <c r="L36" s="126"/>
      <c r="M36" s="40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</row>
    <row r="37" spans="2:24" ht="14.1" customHeight="1" x14ac:dyDescent="0.25">
      <c r="B37" s="45"/>
      <c r="C37" s="44"/>
      <c r="D37" s="44"/>
      <c r="E37" s="125">
        <f t="shared" si="1"/>
        <v>0</v>
      </c>
      <c r="F37" s="126"/>
      <c r="G37" s="41"/>
      <c r="H37" s="45"/>
      <c r="I37" s="44"/>
      <c r="J37" s="44"/>
      <c r="K37" s="125">
        <f t="shared" si="0"/>
        <v>0</v>
      </c>
      <c r="L37" s="126"/>
      <c r="M37" s="40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</row>
    <row r="38" spans="2:24" ht="14.1" customHeight="1" x14ac:dyDescent="0.25">
      <c r="B38" s="45"/>
      <c r="C38" s="44"/>
      <c r="D38" s="44"/>
      <c r="E38" s="125">
        <f t="shared" si="1"/>
        <v>0</v>
      </c>
      <c r="F38" s="126"/>
      <c r="G38" s="41"/>
      <c r="H38" s="45"/>
      <c r="I38" s="44"/>
      <c r="J38" s="44"/>
      <c r="K38" s="125">
        <f t="shared" si="0"/>
        <v>0</v>
      </c>
      <c r="L38" s="126"/>
      <c r="M38" s="40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</row>
    <row r="39" spans="2:24" ht="14.1" customHeight="1" x14ac:dyDescent="0.25">
      <c r="B39" s="45"/>
      <c r="C39" s="44"/>
      <c r="D39" s="44"/>
      <c r="E39" s="125">
        <f t="shared" si="1"/>
        <v>0</v>
      </c>
      <c r="F39" s="126"/>
      <c r="G39" s="41"/>
      <c r="H39" s="45"/>
      <c r="I39" s="44"/>
      <c r="J39" s="44"/>
      <c r="K39" s="125">
        <f t="shared" si="0"/>
        <v>0</v>
      </c>
      <c r="L39" s="126"/>
      <c r="M39" s="40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</row>
    <row r="40" spans="2:24" ht="14.1" customHeight="1" x14ac:dyDescent="0.25">
      <c r="B40" s="45"/>
      <c r="C40" s="44"/>
      <c r="D40" s="44"/>
      <c r="E40" s="125">
        <f t="shared" si="1"/>
        <v>0</v>
      </c>
      <c r="F40" s="126"/>
      <c r="G40" s="41"/>
      <c r="H40" s="45"/>
      <c r="I40" s="44"/>
      <c r="J40" s="44"/>
      <c r="K40" s="125">
        <f t="shared" si="0"/>
        <v>0</v>
      </c>
      <c r="L40" s="126"/>
      <c r="M40" s="40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</row>
    <row r="41" spans="2:24" ht="14.1" customHeight="1" x14ac:dyDescent="0.25">
      <c r="B41" s="45"/>
      <c r="C41" s="44"/>
      <c r="D41" s="44"/>
      <c r="E41" s="125">
        <f t="shared" si="1"/>
        <v>0</v>
      </c>
      <c r="F41" s="126"/>
      <c r="G41" s="41"/>
      <c r="H41" s="45"/>
      <c r="I41" s="44"/>
      <c r="J41" s="44"/>
      <c r="K41" s="125">
        <f t="shared" si="0"/>
        <v>0</v>
      </c>
      <c r="L41" s="126"/>
      <c r="M41" s="40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</row>
    <row r="42" spans="2:24" ht="14.1" customHeight="1" x14ac:dyDescent="0.25">
      <c r="B42" s="45"/>
      <c r="C42" s="44"/>
      <c r="D42" s="44"/>
      <c r="E42" s="125">
        <f t="shared" si="1"/>
        <v>0</v>
      </c>
      <c r="F42" s="126"/>
      <c r="G42" s="41"/>
      <c r="H42" s="45"/>
      <c r="I42" s="44"/>
      <c r="J42" s="44"/>
      <c r="K42" s="125">
        <f t="shared" si="0"/>
        <v>0</v>
      </c>
      <c r="L42" s="126"/>
      <c r="M42" s="40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</row>
    <row r="43" spans="2:24" ht="14.1" customHeight="1" x14ac:dyDescent="0.25">
      <c r="B43" s="45"/>
      <c r="C43" s="44"/>
      <c r="D43" s="44"/>
      <c r="E43" s="125">
        <f t="shared" si="1"/>
        <v>0</v>
      </c>
      <c r="F43" s="126"/>
      <c r="G43" s="41"/>
      <c r="H43" s="45"/>
      <c r="I43" s="44"/>
      <c r="J43" s="44"/>
      <c r="K43" s="125">
        <f t="shared" si="0"/>
        <v>0</v>
      </c>
      <c r="L43" s="126"/>
      <c r="M43" s="40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</row>
    <row r="44" spans="2:24" ht="14.1" customHeight="1" x14ac:dyDescent="0.25">
      <c r="B44" s="45"/>
      <c r="C44" s="44"/>
      <c r="D44" s="44"/>
      <c r="E44" s="125">
        <f t="shared" si="1"/>
        <v>0</v>
      </c>
      <c r="F44" s="126"/>
      <c r="G44" s="41"/>
      <c r="H44" s="45"/>
      <c r="I44" s="44"/>
      <c r="J44" s="44"/>
      <c r="K44" s="125">
        <f t="shared" si="0"/>
        <v>0</v>
      </c>
      <c r="L44" s="126"/>
      <c r="M44" s="40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</row>
    <row r="45" spans="2:24" ht="14.1" customHeight="1" x14ac:dyDescent="0.25">
      <c r="B45" s="45"/>
      <c r="C45" s="44"/>
      <c r="D45" s="44"/>
      <c r="E45" s="125">
        <f t="shared" si="1"/>
        <v>0</v>
      </c>
      <c r="F45" s="126"/>
      <c r="G45" s="41"/>
      <c r="H45" s="45"/>
      <c r="I45" s="44"/>
      <c r="J45" s="44"/>
      <c r="K45" s="125">
        <f t="shared" si="0"/>
        <v>0</v>
      </c>
      <c r="L45" s="126"/>
      <c r="M45" s="40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</row>
    <row r="46" spans="2:24" ht="14.1" customHeight="1" x14ac:dyDescent="0.25">
      <c r="B46" s="45"/>
      <c r="C46" s="44"/>
      <c r="D46" s="44"/>
      <c r="E46" s="125">
        <f t="shared" si="1"/>
        <v>0</v>
      </c>
      <c r="F46" s="126"/>
      <c r="G46" s="41"/>
      <c r="H46" s="45"/>
      <c r="I46" s="44"/>
      <c r="J46" s="44"/>
      <c r="K46" s="125">
        <f t="shared" si="0"/>
        <v>0</v>
      </c>
      <c r="L46" s="126"/>
      <c r="M46" s="4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</row>
    <row r="47" spans="2:24" ht="14.1" customHeight="1" x14ac:dyDescent="0.25">
      <c r="B47" s="45"/>
      <c r="C47" s="44"/>
      <c r="D47" s="44"/>
      <c r="E47" s="125">
        <f t="shared" si="1"/>
        <v>0</v>
      </c>
      <c r="F47" s="126"/>
      <c r="G47" s="41"/>
      <c r="H47" s="45"/>
      <c r="I47" s="44"/>
      <c r="J47" s="44"/>
      <c r="K47" s="125">
        <f t="shared" si="0"/>
        <v>0</v>
      </c>
      <c r="L47" s="126"/>
      <c r="M47" s="4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</row>
    <row r="48" spans="2:24" ht="14.1" customHeight="1" x14ac:dyDescent="0.25">
      <c r="B48" s="45"/>
      <c r="C48" s="44"/>
      <c r="D48" s="44"/>
      <c r="E48" s="125">
        <f t="shared" si="1"/>
        <v>0</v>
      </c>
      <c r="F48" s="126"/>
      <c r="G48" s="41"/>
      <c r="H48" s="45"/>
      <c r="I48" s="44"/>
      <c r="J48" s="44"/>
      <c r="K48" s="125">
        <f t="shared" si="0"/>
        <v>0</v>
      </c>
      <c r="L48" s="126"/>
      <c r="M48" s="4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</row>
    <row r="49" spans="1:54" ht="14.1" customHeight="1" x14ac:dyDescent="0.25">
      <c r="B49" s="45"/>
      <c r="C49" s="44"/>
      <c r="D49" s="44"/>
      <c r="E49" s="125">
        <f t="shared" si="1"/>
        <v>0</v>
      </c>
      <c r="F49" s="126"/>
      <c r="G49" s="41"/>
      <c r="H49" s="45"/>
      <c r="I49" s="44"/>
      <c r="J49" s="44"/>
      <c r="K49" s="125">
        <f t="shared" si="0"/>
        <v>0</v>
      </c>
      <c r="L49" s="126"/>
      <c r="M49" s="4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</row>
    <row r="50" spans="1:54" ht="14.1" customHeight="1" x14ac:dyDescent="0.25">
      <c r="B50" s="45"/>
      <c r="C50" s="44"/>
      <c r="D50" s="44"/>
      <c r="E50" s="125">
        <f t="shared" si="1"/>
        <v>0</v>
      </c>
      <c r="F50" s="126"/>
      <c r="G50" s="41"/>
      <c r="H50" s="45"/>
      <c r="I50" s="44"/>
      <c r="J50" s="44"/>
      <c r="K50" s="125">
        <f t="shared" si="0"/>
        <v>0</v>
      </c>
      <c r="L50" s="126"/>
      <c r="M50" s="4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</row>
    <row r="51" spans="1:54" ht="14.1" customHeight="1" x14ac:dyDescent="0.25">
      <c r="B51" s="45"/>
      <c r="C51" s="44"/>
      <c r="D51" s="44"/>
      <c r="E51" s="125">
        <f t="shared" si="1"/>
        <v>0</v>
      </c>
      <c r="F51" s="126"/>
      <c r="G51" s="41"/>
      <c r="H51" s="45"/>
      <c r="I51" s="44"/>
      <c r="J51" s="44"/>
      <c r="K51" s="125">
        <f t="shared" si="0"/>
        <v>0</v>
      </c>
      <c r="L51" s="126"/>
      <c r="M51" s="4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</row>
    <row r="52" spans="1:54" ht="14.1" customHeight="1" x14ac:dyDescent="0.25">
      <c r="B52" s="45"/>
      <c r="C52" s="44"/>
      <c r="D52" s="44"/>
      <c r="E52" s="125">
        <f t="shared" si="1"/>
        <v>0</v>
      </c>
      <c r="F52" s="126"/>
      <c r="G52" s="41"/>
      <c r="H52" s="45"/>
      <c r="I52" s="44"/>
      <c r="J52" s="44"/>
      <c r="K52" s="125">
        <f t="shared" si="0"/>
        <v>0</v>
      </c>
      <c r="L52" s="126"/>
      <c r="M52" s="4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</row>
    <row r="53" spans="1:54" ht="14.1" customHeight="1" x14ac:dyDescent="0.25">
      <c r="B53" s="45"/>
      <c r="C53" s="44"/>
      <c r="D53" s="44"/>
      <c r="E53" s="125">
        <f t="shared" si="1"/>
        <v>0</v>
      </c>
      <c r="F53" s="126"/>
      <c r="G53" s="41"/>
      <c r="H53" s="45"/>
      <c r="I53" s="44"/>
      <c r="J53" s="44"/>
      <c r="K53" s="125">
        <f t="shared" si="0"/>
        <v>0</v>
      </c>
      <c r="L53" s="126"/>
      <c r="M53" s="4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</row>
    <row r="54" spans="1:54" ht="14.1" customHeight="1" x14ac:dyDescent="0.25">
      <c r="B54" s="45"/>
      <c r="C54" s="44"/>
      <c r="D54" s="44"/>
      <c r="E54" s="125">
        <f t="shared" si="1"/>
        <v>0</v>
      </c>
      <c r="F54" s="126"/>
      <c r="G54" s="41"/>
      <c r="H54" s="45"/>
      <c r="I54" s="44"/>
      <c r="J54" s="44"/>
      <c r="K54" s="125">
        <f t="shared" si="0"/>
        <v>0</v>
      </c>
      <c r="L54" s="126"/>
      <c r="M54" s="4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</row>
    <row r="55" spans="1:54" ht="14.1" customHeight="1" x14ac:dyDescent="0.25">
      <c r="B55" s="43"/>
      <c r="C55" s="42"/>
      <c r="D55" s="42"/>
      <c r="E55" s="204">
        <f>C55*D55*500/1000000</f>
        <v>0</v>
      </c>
      <c r="F55" s="205"/>
      <c r="G55" s="41"/>
      <c r="H55" s="39"/>
      <c r="I55" s="38"/>
      <c r="J55" s="38"/>
      <c r="K55" s="127">
        <f t="shared" si="0"/>
        <v>0</v>
      </c>
      <c r="L55" s="128"/>
      <c r="M55" s="4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</row>
    <row r="56" spans="1:54" ht="14.1" customHeight="1" thickBot="1" x14ac:dyDescent="0.3">
      <c r="B56" s="35"/>
      <c r="D56" s="37"/>
      <c r="E56" s="199" t="str">
        <f>IF(SUM(E31:E55)=0,"",SUM(E31:E55))</f>
        <v/>
      </c>
      <c r="F56" s="199"/>
      <c r="G56" s="36"/>
      <c r="H56" s="35"/>
      <c r="J56" s="34"/>
      <c r="K56" s="199" t="str">
        <f>IF(SUM(K31:K55)=0,"",SUM(K31:K55))</f>
        <v/>
      </c>
      <c r="L56" s="199"/>
      <c r="M56" s="36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</row>
    <row r="57" spans="1:54" ht="14.1" customHeight="1" thickTop="1" x14ac:dyDescent="0.25">
      <c r="C57" s="31">
        <f>SUM(C31:C55)</f>
        <v>0</v>
      </c>
      <c r="D57" s="29"/>
      <c r="E57" s="29"/>
      <c r="F57" s="29"/>
      <c r="G57" s="33"/>
      <c r="H57" s="33"/>
      <c r="I57" s="31">
        <f>SUM(I31:I55)</f>
        <v>0</v>
      </c>
      <c r="J57" s="32"/>
      <c r="K57" s="32"/>
      <c r="L57" s="29" t="str">
        <f>IF(AND(K56&lt;10,Z10=4),VLOOKUP("Mindestmenge",Sprachindex!$A:$W,$Z$7,FALSE) &amp; " " &amp; 10 &amp; " m²","")</f>
        <v/>
      </c>
      <c r="M57" s="33"/>
      <c r="N57" s="33"/>
      <c r="O57" s="31">
        <f>SUM(O31:O55)</f>
        <v>0</v>
      </c>
      <c r="P57" s="32"/>
      <c r="Q57" s="32"/>
      <c r="R57" s="29" t="str">
        <f>IF(AND(Q56&lt;10,Z10=4),VLOOKUP("Mindestmenge",Sprachindex!$A:$W,$Z$7,FALSE) &amp; " " &amp; 10 &amp; " m²","")</f>
        <v/>
      </c>
      <c r="U57" s="31">
        <f>SUM(U31:U55)</f>
        <v>0</v>
      </c>
      <c r="V57" s="30"/>
      <c r="W57" s="30"/>
      <c r="X57" s="29" t="str">
        <f>IF(AND(W56&lt;10,Z10=4),VLOOKUP("Mindestmenge",Sprachindex!$A:$W,$Z$7,FALSE) &amp; " " &amp; 10 &amp; " m²","")</f>
        <v/>
      </c>
    </row>
    <row r="58" spans="1:54" ht="14.1" customHeight="1" x14ac:dyDescent="0.25">
      <c r="A58" s="6" t="str">
        <f>VLOOKUP("Anwendungstechnik",Sprachindex!$A:$W,$Z$7,FALSE)</f>
        <v>Service technique</v>
      </c>
      <c r="B58" s="4"/>
      <c r="C58" s="4"/>
      <c r="D58" s="141"/>
      <c r="E58" s="141"/>
      <c r="F58" s="141"/>
      <c r="G58" s="141"/>
      <c r="H58" s="141"/>
      <c r="I58" s="141"/>
      <c r="J58" s="141"/>
      <c r="K58" s="141"/>
      <c r="L58" s="141"/>
      <c r="M58" s="4"/>
      <c r="N58" s="4"/>
      <c r="O58" s="4"/>
      <c r="P58" s="5"/>
      <c r="Q58" s="4"/>
      <c r="R58" s="4"/>
      <c r="S58" s="4"/>
      <c r="T58" s="4"/>
      <c r="U58" s="4"/>
      <c r="V58" s="4"/>
      <c r="W58" s="3" t="str">
        <f>VLOOKUP("Stand:",Sprachindex!$A:$W,$Z$7,FALSE)</f>
        <v>Version :</v>
      </c>
      <c r="X58" s="148">
        <f>'Siding138+200+300+400'!X58:Y58</f>
        <v>44692</v>
      </c>
      <c r="Y58" s="149"/>
    </row>
    <row r="59" spans="1:54" ht="27.75" x14ac:dyDescent="0.25">
      <c r="X59" s="27" t="str">
        <f>VLOOKUP("PREFA FASSADENSYSTEME",Sprachindex!$A:$W,$Z$7,FALSE)</f>
        <v>FAÇADES PREFA</v>
      </c>
      <c r="Z59" s="2"/>
    </row>
    <row r="60" spans="1:54" ht="28.5" thickBot="1" x14ac:dyDescent="0.3">
      <c r="C60" s="203"/>
      <c r="D60" s="203"/>
      <c r="E60" s="28"/>
      <c r="X60" s="27" t="str">
        <f>VLOOKUP("SIDING ZUBEHÖR",Sprachindex!$A:$W,$Z$7,FALSE)</f>
        <v>ACCESSOIRES POUR SIDINGS</v>
      </c>
      <c r="Z60" s="2"/>
      <c r="AC60" s="141"/>
      <c r="AD60" s="141"/>
      <c r="AE60" s="141"/>
      <c r="AF60" s="141"/>
      <c r="AG60" s="141"/>
      <c r="AH60" s="141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</row>
    <row r="61" spans="1:54" s="24" customFormat="1" ht="24.95" customHeight="1" x14ac:dyDescent="0.25">
      <c r="C61" s="191" t="str">
        <f>VLOOKUP("Menge",Sprachindex!$A:$W,$Z$7,FALSE)</f>
        <v>Quantité</v>
      </c>
      <c r="D61" s="146"/>
      <c r="E61" s="146" t="str">
        <f>VLOOKUP("Einheit",Sprachindex!$A:$W,$Z$7,FALSE)</f>
        <v>Unité</v>
      </c>
      <c r="F61" s="146"/>
      <c r="G61" s="146" t="str">
        <f>VLOOKUP("Abbildung",Sprachindex!$A:$W,$Z$7,FALSE)</f>
        <v>Illustration</v>
      </c>
      <c r="H61" s="146"/>
      <c r="I61" s="146" t="str">
        <f>VLOOKUP("Artikel Nr.",Sprachindex!$A:$W,$Z$7,FALSE)</f>
        <v>Référence</v>
      </c>
      <c r="J61" s="146"/>
      <c r="K61" s="143" t="str">
        <f>VLOOKUP("Bezeichnung",Sprachindex!$A:$W,$Z$7,FALSE)</f>
        <v>Désignation</v>
      </c>
      <c r="L61" s="144"/>
      <c r="M61" s="144"/>
      <c r="N61" s="144"/>
      <c r="O61" s="144"/>
      <c r="P61" s="144"/>
      <c r="Q61" s="144"/>
      <c r="R61" s="144"/>
      <c r="S61" s="144"/>
      <c r="T61" s="144"/>
      <c r="U61" s="145"/>
      <c r="V61" s="146" t="str">
        <f>VLOOKUP("Total",Sprachindex!$A:$W,$Z$7,FALSE)</f>
        <v>Total</v>
      </c>
      <c r="W61" s="147"/>
      <c r="Z61" s="26"/>
      <c r="AC61" s="20" t="s">
        <v>58</v>
      </c>
      <c r="AD61" s="20" t="s">
        <v>53</v>
      </c>
      <c r="AE61" s="20" t="s">
        <v>52</v>
      </c>
      <c r="AF61" s="20" t="s">
        <v>50</v>
      </c>
      <c r="AG61" s="20" t="s">
        <v>48</v>
      </c>
      <c r="AH61" s="20" t="s">
        <v>47</v>
      </c>
      <c r="AI61" s="16" t="s">
        <v>38</v>
      </c>
      <c r="AJ61" s="1"/>
      <c r="AK61" s="1"/>
      <c r="AL61" s="1"/>
      <c r="AM61" s="1"/>
      <c r="AN61" s="1"/>
      <c r="AO61" s="1"/>
      <c r="AP61" s="1"/>
      <c r="AQ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</row>
    <row r="62" spans="1:54" ht="24.95" customHeight="1" x14ac:dyDescent="0.25">
      <c r="C62" s="117"/>
      <c r="D62" s="118"/>
      <c r="E62" s="113" t="str">
        <f>VLOOKUP("kg",Sprachindex!$A:$W,$Z$7,FALSE)</f>
        <v>kg</v>
      </c>
      <c r="F62" s="113"/>
      <c r="G62" s="113"/>
      <c r="H62" s="113"/>
      <c r="I62" s="113" t="e">
        <f>AI62</f>
        <v>#VALUE!</v>
      </c>
      <c r="J62" s="113"/>
      <c r="K62" s="114" t="str">
        <f>VLOOKUP("Ergänzungsband",Sprachindex!$A:$W,$Z$7,FALSE) &amp; " 0,7 x 1.000 mm"</f>
        <v>bande complémentaire 0,7 x 1.000 mm</v>
      </c>
      <c r="L62" s="115"/>
      <c r="M62" s="115"/>
      <c r="N62" s="115"/>
      <c r="O62" s="115"/>
      <c r="P62" s="115"/>
      <c r="Q62" s="115"/>
      <c r="R62" s="115"/>
      <c r="S62" s="115"/>
      <c r="T62" s="115"/>
      <c r="U62" s="116"/>
      <c r="V62" s="122" t="str">
        <f>IF(AND(N62&gt;0,P62&gt;0,R62&gt;0,T62&gt;0),IF(AND(OR(P62=#REF!,P62=#REF!,P62=#REF!,P62=#REF!,P62=#REF!,P62=#REF!,P62=#REF!,P62=#REF!,P62=#REF!,P62=#REF!,P62=#REF!,P62=#REF!,P62=#REF!,P62=#REF!),R62=#REF!),'Siding500+600'!X62,Y62),"")</f>
        <v/>
      </c>
      <c r="W62" s="123"/>
      <c r="X62" s="23" t="str">
        <f>IF(C62&gt;0,ROUNDUP(C62/60,0)*60 &amp; " " &amp; VLOOKUP("kg",Sprachindex!$A:$W,$Z$7,FALSE),"")</f>
        <v/>
      </c>
      <c r="Y62" s="23" t="str">
        <f>IF(C62&gt;0,ROUNDUP(C62/30,0)*30 &amp; " " &amp; VLOOKUP("kg",Sprachindex!$A:$W,$Z$7,FALSE),"")</f>
        <v/>
      </c>
      <c r="AC62" s="18" t="s">
        <v>186</v>
      </c>
      <c r="AD62" s="18" t="s">
        <v>181</v>
      </c>
      <c r="AE62" s="18" t="s">
        <v>180</v>
      </c>
      <c r="AF62" s="18" t="s">
        <v>178</v>
      </c>
      <c r="AG62" s="18" t="s">
        <v>176</v>
      </c>
      <c r="AH62" s="18"/>
      <c r="AI62" s="16" t="e">
        <f t="shared" ref="AI62:AI63" si="2">VLOOKUP(AC62,AC62:AH62,$Z$20,FALSE)</f>
        <v>#VALUE!</v>
      </c>
    </row>
    <row r="63" spans="1:54" ht="24.95" customHeight="1" x14ac:dyDescent="0.25">
      <c r="C63" s="117"/>
      <c r="D63" s="118"/>
      <c r="E63" s="113" t="str">
        <f>VLOOKUP("kg",Sprachindex!$A:$W,$Z$7,FALSE)</f>
        <v>kg</v>
      </c>
      <c r="F63" s="113"/>
      <c r="G63" s="113"/>
      <c r="H63" s="113"/>
      <c r="I63" s="113" t="e">
        <f>AI63</f>
        <v>#VALUE!</v>
      </c>
      <c r="J63" s="113"/>
      <c r="K63" s="114" t="str">
        <f>VLOOKUP("Ergänzungsband",Sprachindex!$A:$W,$Z$7,FALSE) &amp; " 1,0 x 1.200 mm"</f>
        <v>bande complémentaire 1,0 x 1.200 mm</v>
      </c>
      <c r="L63" s="115"/>
      <c r="M63" s="115"/>
      <c r="N63" s="115"/>
      <c r="O63" s="115"/>
      <c r="P63" s="115"/>
      <c r="Q63" s="115"/>
      <c r="R63" s="115"/>
      <c r="S63" s="115"/>
      <c r="T63" s="115"/>
      <c r="U63" s="116"/>
      <c r="V63" s="122" t="str">
        <f>IF(AND(N63&gt;0,P63&gt;0,R63&gt;0,T63&gt;0),IF(AND(OR(P63=#REF!,P63=#REF!,P63=#REF!,P63=#REF!,P63=#REF!,P63=#REF!,P63=#REF!,P63=#REF!,P63=#REF!,P63=#REF!,P63=#REF!,P63=#REF!,P63=#REF!,P63=#REF!),R63=#REF!),'Siding138+200+300+400'!X65,Y63),"")</f>
        <v/>
      </c>
      <c r="W63" s="123"/>
      <c r="X63" s="23" t="str">
        <f>IF(C63&gt;0,ROUNDUP(C63/60,0)*60 &amp; " " &amp; VLOOKUP("kg",Sprachindex!$A:$W,$Z$7,FALSE),"")</f>
        <v/>
      </c>
      <c r="Y63" s="23" t="str">
        <f>IF(C63&gt;0,ROUNDUP(C63/30,0)*30 &amp; " " &amp; VLOOKUP("kg",Sprachindex!$A:$W,$Z$7,FALSE),"")</f>
        <v/>
      </c>
      <c r="AC63" s="18" t="s">
        <v>170</v>
      </c>
      <c r="AD63" s="18" t="s">
        <v>168</v>
      </c>
      <c r="AE63" s="18" t="s">
        <v>167</v>
      </c>
      <c r="AF63" s="18" t="s">
        <v>166</v>
      </c>
      <c r="AG63" s="18" t="s">
        <v>164</v>
      </c>
      <c r="AH63" s="18" t="s">
        <v>163</v>
      </c>
      <c r="AI63" s="16" t="e">
        <f t="shared" si="2"/>
        <v>#VALUE!</v>
      </c>
    </row>
    <row r="64" spans="1:54" ht="24.95" customHeight="1" x14ac:dyDescent="0.25">
      <c r="B64" s="21">
        <f>IF(OR(U57&gt;0,AND(O57&gt;0,Z10=4)),1,0)</f>
        <v>0</v>
      </c>
      <c r="C64" s="117"/>
      <c r="D64" s="118"/>
      <c r="E64" s="113" t="str">
        <f>VLOOKUP("STK",Sprachindex!$A:$W,$Z$7,FALSE)</f>
        <v>pc.</v>
      </c>
      <c r="F64" s="113"/>
      <c r="G64" s="113"/>
      <c r="H64" s="113"/>
      <c r="I64" s="113">
        <v>594691</v>
      </c>
      <c r="J64" s="113"/>
      <c r="K64" s="114" t="str">
        <f>VLOOKUP("PREFA Sturmsicherungsclip",Sprachindex!$A:$W,$Z$7,FALSE)</f>
        <v>clip tempête</v>
      </c>
      <c r="L64" s="115"/>
      <c r="M64" s="115"/>
      <c r="N64" s="115"/>
      <c r="O64" s="115"/>
      <c r="P64" s="115"/>
      <c r="Q64" s="115"/>
      <c r="R64" s="115"/>
      <c r="S64" s="115"/>
      <c r="T64" s="115"/>
      <c r="U64" s="116"/>
      <c r="V64" s="122" t="str">
        <f>IF(C64&gt;0,ROUNDUP(C64/150,0)*150 &amp; " " &amp; VLOOKUP("STK",Sprachindex!$A:$W,$Z$7,FALSE),"")</f>
        <v/>
      </c>
      <c r="W64" s="123"/>
      <c r="X64" s="208" t="str">
        <f>VLOOKUP("Clip notwendig!",Sprachindex!$A:$W,$Z$7,FALSE) &amp; "                 " &amp; IF(OR(C64&gt;0,B64&gt;0),B64 &amp; " " &amp; VLOOKUP("STK",Sprachindex!$A:$W,$Z$7,FALSE),"")</f>
        <v xml:space="preserve">Clip requis !                 </v>
      </c>
      <c r="Y64" s="209"/>
    </row>
    <row r="65" spans="2:35" ht="24.95" customHeight="1" x14ac:dyDescent="0.25">
      <c r="B65" s="22"/>
      <c r="C65" s="117"/>
      <c r="D65" s="118"/>
      <c r="E65" s="113" t="str">
        <f>VLOOKUP("STK",Sprachindex!$A:$W,$Z$7,FALSE)</f>
        <v>pc.</v>
      </c>
      <c r="F65" s="113"/>
      <c r="G65" s="119"/>
      <c r="H65" s="119"/>
      <c r="I65" s="113">
        <v>340440</v>
      </c>
      <c r="J65" s="113"/>
      <c r="K65" s="114" t="str">
        <f>VLOOKUP("PREFA Montagehilfe Sturmsicherungsclip für Materialstärke 1,5mm",Sprachindex!$A:$W,$Z$7,FALSE)</f>
        <v>cale d’espacement pour clip tempête 1,5 mm</v>
      </c>
      <c r="L65" s="115"/>
      <c r="M65" s="115"/>
      <c r="N65" s="115"/>
      <c r="O65" s="115"/>
      <c r="P65" s="115"/>
      <c r="Q65" s="115"/>
      <c r="R65" s="115"/>
      <c r="S65" s="115"/>
      <c r="T65" s="115"/>
      <c r="U65" s="116"/>
      <c r="V65" s="122" t="str">
        <f>IF(C65&gt;0,C65 &amp; " " &amp; VLOOKUP("STK",Sprachindex!$A:$W,$Z$7,FALSE),"")</f>
        <v/>
      </c>
      <c r="W65" s="123"/>
      <c r="X65" s="120"/>
      <c r="Y65" s="121"/>
      <c r="Z65" s="2"/>
    </row>
    <row r="66" spans="2:35" ht="24.95" customHeight="1" x14ac:dyDescent="0.25">
      <c r="B66" s="21">
        <v>1</v>
      </c>
      <c r="C66" s="175"/>
      <c r="D66" s="176"/>
      <c r="E66" s="113" t="str">
        <f>VLOOKUP("STK",Sprachindex!$A:$W,$Z$7,FALSE)</f>
        <v>pc.</v>
      </c>
      <c r="F66" s="113"/>
      <c r="G66" s="212"/>
      <c r="H66" s="212"/>
      <c r="I66" s="113" t="e">
        <f>AI66</f>
        <v>#VALUE!</v>
      </c>
      <c r="J66" s="113"/>
      <c r="K66" s="114" t="str">
        <f>VLOOKUP("PREFA Fuge.500",Sprachindex!$A:$W,$Z$7,FALSE)</f>
        <v>jointure.500</v>
      </c>
      <c r="L66" s="115"/>
      <c r="M66" s="115"/>
      <c r="N66" s="115"/>
      <c r="O66" s="115"/>
      <c r="P66" s="115"/>
      <c r="Q66" s="115"/>
      <c r="R66" s="115"/>
      <c r="S66" s="115"/>
      <c r="T66" s="115"/>
      <c r="U66" s="116"/>
      <c r="V66" s="210" t="str">
        <f>IF(C66&gt;0,C66 &amp; " " &amp; VLOOKUP("STK",Sprachindex!$A:$W,$Z$7,FALSE),"")</f>
        <v/>
      </c>
      <c r="W66" s="211"/>
      <c r="X66" s="120"/>
      <c r="Y66" s="121"/>
      <c r="Z66" s="2"/>
      <c r="AC66" s="18" t="s">
        <v>1705</v>
      </c>
      <c r="AD66" s="18" t="s">
        <v>1706</v>
      </c>
      <c r="AE66" s="18" t="s">
        <v>1707</v>
      </c>
      <c r="AF66" s="18" t="s">
        <v>1708</v>
      </c>
      <c r="AG66" s="18" t="s">
        <v>1709</v>
      </c>
      <c r="AH66" s="18" t="s">
        <v>1710</v>
      </c>
      <c r="AI66" s="16" t="e">
        <f t="shared" ref="AI66:AI67" si="3">VLOOKUP(AC66,AC66:AH66,$Z$20,FALSE)</f>
        <v>#VALUE!</v>
      </c>
    </row>
    <row r="67" spans="2:35" ht="24.95" customHeight="1" x14ac:dyDescent="0.25">
      <c r="B67" s="21"/>
      <c r="C67" s="117"/>
      <c r="D67" s="118"/>
      <c r="E67" s="113" t="str">
        <f>VLOOKUP("STK",Sprachindex!$A:$W,$Z$7,FALSE)</f>
        <v>pc.</v>
      </c>
      <c r="F67" s="113"/>
      <c r="G67" s="113"/>
      <c r="H67" s="113"/>
      <c r="I67" s="113" t="e">
        <f>AI67</f>
        <v>#VALUE!</v>
      </c>
      <c r="J67" s="113"/>
      <c r="K67" s="114" t="str">
        <f>VLOOKUP("PREFA Fuge.600",Sprachindex!$A:$W,$Z$7,FALSE)</f>
        <v>jointure.600</v>
      </c>
      <c r="L67" s="115"/>
      <c r="M67" s="115"/>
      <c r="N67" s="115"/>
      <c r="O67" s="115"/>
      <c r="P67" s="115"/>
      <c r="Q67" s="115"/>
      <c r="R67" s="115"/>
      <c r="S67" s="115"/>
      <c r="T67" s="115"/>
      <c r="U67" s="116"/>
      <c r="V67" s="210" t="str">
        <f>IF(C67&gt;0,C67 &amp; " " &amp; VLOOKUP("STK",Sprachindex!$A:$W,$Z$7,FALSE),"")</f>
        <v/>
      </c>
      <c r="W67" s="211"/>
      <c r="X67" s="120"/>
      <c r="Y67" s="121"/>
      <c r="Z67" s="2"/>
      <c r="AC67" s="18" t="s">
        <v>1711</v>
      </c>
      <c r="AD67" s="18" t="s">
        <v>1712</v>
      </c>
      <c r="AE67" s="18" t="s">
        <v>1712</v>
      </c>
      <c r="AF67" s="18" t="s">
        <v>1712</v>
      </c>
      <c r="AG67" s="18" t="s">
        <v>1712</v>
      </c>
      <c r="AH67" s="18" t="s">
        <v>1712</v>
      </c>
      <c r="AI67" s="16" t="e">
        <f t="shared" si="3"/>
        <v>#VALUE!</v>
      </c>
    </row>
    <row r="68" spans="2:35" ht="24.95" customHeight="1" x14ac:dyDescent="0.25">
      <c r="C68" s="117"/>
      <c r="D68" s="118"/>
      <c r="E68" s="113" t="str">
        <f>VLOOKUP("STK",Sprachindex!$A:$W,$Z$7,FALSE)</f>
        <v>pc.</v>
      </c>
      <c r="F68" s="113"/>
      <c r="G68" s="113"/>
      <c r="H68" s="113"/>
      <c r="I68" s="113">
        <v>533153</v>
      </c>
      <c r="J68" s="113"/>
      <c r="K68" s="114" t="str">
        <f>VLOOKUP("Befestigungsmittel Siding - Aluminium UK 4,8 x 19 mm",Sprachindex!$A:$W,$Z$7,FALSE)</f>
        <v>Matériel de fixation pour siding – sous-construction aluminium 4,8 × 19 mm</v>
      </c>
      <c r="L68" s="115"/>
      <c r="M68" s="115"/>
      <c r="N68" s="115"/>
      <c r="O68" s="115"/>
      <c r="P68" s="115"/>
      <c r="Q68" s="115"/>
      <c r="R68" s="115"/>
      <c r="S68" s="115"/>
      <c r="T68" s="115"/>
      <c r="U68" s="116"/>
      <c r="V68" s="122" t="str">
        <f>IF(C68&gt;0,ROUNDUP(C68/250,0)*250 &amp; " " &amp; VLOOKUP("STK",Sprachindex!$A:$W,$Z$7,FALSE),"")</f>
        <v/>
      </c>
      <c r="W68" s="123"/>
      <c r="X68" s="120"/>
      <c r="Y68" s="121"/>
      <c r="Z68" s="2"/>
    </row>
    <row r="69" spans="2:35" ht="24.95" customHeight="1" x14ac:dyDescent="0.25">
      <c r="C69" s="117"/>
      <c r="D69" s="118"/>
      <c r="E69" s="113" t="str">
        <f>VLOOKUP("STK",Sprachindex!$A:$W,$Z$7,FALSE)</f>
        <v>pc.</v>
      </c>
      <c r="F69" s="113"/>
      <c r="G69" s="113"/>
      <c r="H69" s="113"/>
      <c r="I69" s="113">
        <v>533154</v>
      </c>
      <c r="J69" s="113"/>
      <c r="K69" s="114" t="str">
        <f>VLOOKUP("Befestigungsmittel Siding - Holz UK 4,9 x 35 mm",Sprachindex!$A:$W,$Z$7,FALSE)</f>
        <v>Matériel de fixation pour siding – sous-construction bois 4,9 × 35 mm</v>
      </c>
      <c r="L69" s="115"/>
      <c r="M69" s="115"/>
      <c r="N69" s="115"/>
      <c r="O69" s="115"/>
      <c r="P69" s="115"/>
      <c r="Q69" s="115"/>
      <c r="R69" s="115"/>
      <c r="S69" s="115"/>
      <c r="T69" s="115"/>
      <c r="U69" s="116"/>
      <c r="V69" s="122" t="str">
        <f>IF(C69&gt;0,ROUNDUP(C69/250,0)*250 &amp; " " &amp; VLOOKUP("STK",Sprachindex!$A:$W,$Z$7,FALSE),"")</f>
        <v/>
      </c>
      <c r="W69" s="123"/>
      <c r="X69" s="120"/>
      <c r="Y69" s="121"/>
      <c r="Z69" s="2"/>
    </row>
    <row r="70" spans="2:35" ht="24.95" customHeight="1" x14ac:dyDescent="0.25">
      <c r="C70" s="117"/>
      <c r="D70" s="118"/>
      <c r="E70" s="113" t="str">
        <f>VLOOKUP("STK",Sprachindex!$A:$W,$Z$7,FALSE)</f>
        <v>pc.</v>
      </c>
      <c r="F70" s="113"/>
      <c r="G70" s="113"/>
      <c r="H70" s="113"/>
      <c r="I70" s="113">
        <v>560009</v>
      </c>
      <c r="J70" s="113"/>
      <c r="K70" s="114" t="str">
        <f>VLOOKUP("PREFA Stoßverbinder L=150mm",Sprachindex!$A:$W,$Z$7,FALSE)</f>
        <v>profil de liaison ; L = 150 mm</v>
      </c>
      <c r="L70" s="115"/>
      <c r="M70" s="115"/>
      <c r="N70" s="115"/>
      <c r="O70" s="115"/>
      <c r="P70" s="115"/>
      <c r="Q70" s="115"/>
      <c r="R70" s="115"/>
      <c r="S70" s="115"/>
      <c r="T70" s="115"/>
      <c r="U70" s="116"/>
      <c r="V70" s="122" t="str">
        <f>IF(C70&gt;0,C70&amp;" "&amp;VLOOKUP("STK",Sprachindex!$A:$W,$Z$7,FALSE),"")</f>
        <v/>
      </c>
      <c r="W70" s="123"/>
      <c r="X70" s="120"/>
      <c r="Y70" s="121"/>
      <c r="Z70" s="2"/>
    </row>
    <row r="71" spans="2:35" ht="24.95" customHeight="1" x14ac:dyDescent="0.25">
      <c r="C71" s="117"/>
      <c r="D71" s="118"/>
      <c r="E71" s="113" t="str">
        <f>VLOOKUP("lfm",Sprachindex!$A:$W,$Z$7,FALSE)</f>
        <v>ml</v>
      </c>
      <c r="F71" s="113"/>
      <c r="G71" s="113"/>
      <c r="H71" s="113"/>
      <c r="I71" s="113">
        <v>594060</v>
      </c>
      <c r="J71" s="113"/>
      <c r="K71" s="114" t="str">
        <f>VLOOKUP("PREFA Wetterschenkel L = 2.500 mm",Sprachindex!$A:$W,$Z$7,FALSE)</f>
        <v>renvoi d’eau ; L = 2 500 mm</v>
      </c>
      <c r="L71" s="115"/>
      <c r="M71" s="115"/>
      <c r="N71" s="115"/>
      <c r="O71" s="115"/>
      <c r="P71" s="115"/>
      <c r="Q71" s="115"/>
      <c r="R71" s="115"/>
      <c r="S71" s="115"/>
      <c r="T71" s="115"/>
      <c r="U71" s="116"/>
      <c r="V71" s="122" t="str">
        <f>IF(C71&gt;0,ROUNDUP(C71/2.5,0)*2.5 &amp; " " &amp; VLOOKUP("lfm",Sprachindex!$A:$W,$Z$7,FALSE),"")</f>
        <v/>
      </c>
      <c r="W71" s="123"/>
      <c r="X71" s="120"/>
      <c r="Y71" s="121"/>
      <c r="Z71" s="2"/>
    </row>
    <row r="72" spans="2:35" ht="24.95" customHeight="1" x14ac:dyDescent="0.25">
      <c r="C72" s="117"/>
      <c r="D72" s="118"/>
      <c r="E72" s="113" t="str">
        <f>VLOOKUP("lfm",Sprachindex!$A:$W,$Z$7,FALSE)</f>
        <v>ml</v>
      </c>
      <c r="F72" s="113"/>
      <c r="G72" s="113"/>
      <c r="H72" s="113"/>
      <c r="I72" s="113" t="e">
        <f t="shared" ref="I72" si="4">AI72</f>
        <v>#N/A</v>
      </c>
      <c r="J72" s="113"/>
      <c r="K72" s="114" t="str">
        <f>VLOOKUP("PREFA Schnittlochblende L = 2.500 mm",Sprachindex!$A:$W,$Z$7,FALSE)</f>
        <v>cache de départ perforé ; L = 2 500 mm</v>
      </c>
      <c r="L72" s="115"/>
      <c r="M72" s="115"/>
      <c r="N72" s="115"/>
      <c r="O72" s="115"/>
      <c r="P72" s="115"/>
      <c r="Q72" s="115"/>
      <c r="R72" s="115"/>
      <c r="S72" s="115"/>
      <c r="T72" s="115"/>
      <c r="U72" s="116"/>
      <c r="V72" s="122" t="str">
        <f>IF(C72&gt;0,ROUNDUP(C72/2.5,0)*2.5 &amp; " " &amp; VLOOKUP("lfm",Sprachindex!$A:$W,$Z$7,FALSE),"")</f>
        <v/>
      </c>
      <c r="W72" s="123"/>
      <c r="X72" s="120"/>
      <c r="Y72" s="121"/>
      <c r="AC72" s="18"/>
      <c r="AD72" s="18"/>
      <c r="AE72" s="18"/>
      <c r="AF72" s="18"/>
      <c r="AG72" s="18"/>
      <c r="AH72" s="18"/>
      <c r="AI72" s="16" t="e">
        <f t="shared" ref="AI72" si="5">VLOOKUP(AC72,AC72:AH72,$Z$20,FALSE)</f>
        <v>#N/A</v>
      </c>
    </row>
    <row r="73" spans="2:35" ht="24.95" customHeight="1" x14ac:dyDescent="0.25">
      <c r="C73" s="117"/>
      <c r="D73" s="118"/>
      <c r="E73" s="113" t="str">
        <f>VLOOKUP("lfm",Sprachindex!$A:$W,$Z$7,FALSE)</f>
        <v>ml</v>
      </c>
      <c r="F73" s="113"/>
      <c r="G73" s="113"/>
      <c r="H73" s="113"/>
      <c r="I73" s="113">
        <v>594060</v>
      </c>
      <c r="J73" s="113"/>
      <c r="K73" s="114" t="str">
        <f>VLOOKUP("PREFA Taschenprofil L = 2.500 mm gekantet",Sprachindex!$A:$W,$Z$7,FALSE)</f>
        <v>profil replié PREFA, L = 2 500 mm</v>
      </c>
      <c r="L73" s="115"/>
      <c r="M73" s="115"/>
      <c r="N73" s="115"/>
      <c r="O73" s="115"/>
      <c r="P73" s="115"/>
      <c r="Q73" s="115"/>
      <c r="R73" s="115"/>
      <c r="S73" s="115"/>
      <c r="T73" s="115"/>
      <c r="U73" s="116"/>
      <c r="V73" s="122" t="str">
        <f>IF(C73&gt;0,ROUNDUP(C73/2.5,0)*2.5 &amp; " " &amp; VLOOKUP("lfm",Sprachindex!$A:$W,$Z$7,FALSE),"")</f>
        <v/>
      </c>
      <c r="W73" s="123"/>
      <c r="X73" s="120"/>
      <c r="Y73" s="121"/>
    </row>
    <row r="74" spans="2:35" ht="24.95" customHeight="1" x14ac:dyDescent="0.25">
      <c r="C74" s="117"/>
      <c r="D74" s="118"/>
      <c r="E74" s="113" t="str">
        <f>VLOOKUP("lfm",Sprachindex!$A:$W,$Z$7,FALSE)</f>
        <v>ml</v>
      </c>
      <c r="F74" s="113"/>
      <c r="G74" s="113"/>
      <c r="H74" s="113"/>
      <c r="I74" s="113">
        <v>594060</v>
      </c>
      <c r="J74" s="113"/>
      <c r="K74" s="114" t="str">
        <f>VLOOKUP("PREFA Taschenprofil L = 2.500 mm",Sprachindex!$A:$W,$Z$7,FALSE)</f>
        <v>profil replié ; L = 2 500 mm</v>
      </c>
      <c r="L74" s="115"/>
      <c r="M74" s="115"/>
      <c r="N74" s="115"/>
      <c r="O74" s="115"/>
      <c r="P74" s="115"/>
      <c r="Q74" s="115"/>
      <c r="R74" s="115"/>
      <c r="S74" s="115"/>
      <c r="T74" s="115"/>
      <c r="U74" s="116"/>
      <c r="V74" s="122" t="str">
        <f>IF(C74&gt;0,ROUNDUP(C74/2.5,0)*2.5 &amp; " " &amp; VLOOKUP("lfm",Sprachindex!$A:$W,$Z$7,FALSE),"")</f>
        <v/>
      </c>
      <c r="W74" s="123"/>
      <c r="X74" s="120"/>
      <c r="Y74" s="121"/>
    </row>
    <row r="75" spans="2:35" ht="24.95" customHeight="1" x14ac:dyDescent="0.25">
      <c r="C75" s="117"/>
      <c r="D75" s="118"/>
      <c r="E75" s="113" t="str">
        <f>VLOOKUP("lfm",Sprachindex!$A:$W,$Z$7,FALSE)</f>
        <v>ml</v>
      </c>
      <c r="F75" s="113"/>
      <c r="G75" s="113"/>
      <c r="H75" s="113"/>
      <c r="I75" s="113">
        <v>594060</v>
      </c>
      <c r="J75" s="113"/>
      <c r="K75" s="114" t="str">
        <f>VLOOKUP("PREFA Steckleiste L = 2.000 mm",Sprachindex!$A:$W,$Z$7,FALSE)</f>
        <v>profil de jonction ; L = 2 000 mm</v>
      </c>
      <c r="L75" s="115"/>
      <c r="M75" s="115"/>
      <c r="N75" s="115"/>
      <c r="O75" s="115"/>
      <c r="P75" s="115"/>
      <c r="Q75" s="115"/>
      <c r="R75" s="115"/>
      <c r="S75" s="115"/>
      <c r="T75" s="115"/>
      <c r="U75" s="116"/>
      <c r="V75" s="122" t="str">
        <f>IF(C75&gt;0,ROUNDUP(C75/2,0)*2 &amp; " " &amp; VLOOKUP("lfm",Sprachindex!$A:$W,$Z$7,FALSE),"")</f>
        <v/>
      </c>
      <c r="W75" s="123"/>
      <c r="X75" s="120"/>
      <c r="Y75" s="121"/>
    </row>
    <row r="76" spans="2:35" ht="24.95" customHeight="1" x14ac:dyDescent="0.25">
      <c r="C76" s="117"/>
      <c r="D76" s="118"/>
      <c r="E76" s="113" t="str">
        <f>VLOOKUP("lfm",Sprachindex!$A:$W,$Z$7,FALSE)</f>
        <v>ml</v>
      </c>
      <c r="F76" s="113"/>
      <c r="G76" s="113"/>
      <c r="H76" s="113"/>
      <c r="I76" s="113">
        <v>560020</v>
      </c>
      <c r="J76" s="113"/>
      <c r="K76" s="114" t="str">
        <f>VLOOKUP("PREFA Startprofil L = 2.000 mm P.10 anthrazit",Sprachindex!$A:$W,$Z$7,FALSE)</f>
        <v>profil de départ ; L = 2 000 mm P.10 anthracite</v>
      </c>
      <c r="L76" s="115"/>
      <c r="M76" s="115"/>
      <c r="N76" s="115"/>
      <c r="O76" s="115"/>
      <c r="P76" s="115"/>
      <c r="Q76" s="115"/>
      <c r="R76" s="115"/>
      <c r="S76" s="115"/>
      <c r="T76" s="115"/>
      <c r="U76" s="116"/>
      <c r="V76" s="122" t="str">
        <f>IF(C76&gt;0,ROUNDUP(C76/2,0)*2 &amp; " " &amp; VLOOKUP("lfm",Sprachindex!$A:$W,$Z$7,FALSE),"")</f>
        <v/>
      </c>
      <c r="W76" s="123"/>
      <c r="X76" s="120"/>
      <c r="Y76" s="121"/>
    </row>
    <row r="77" spans="2:35" ht="24.95" customHeight="1" x14ac:dyDescent="0.25">
      <c r="C77" s="117"/>
      <c r="D77" s="118"/>
      <c r="E77" s="113" t="str">
        <f>VLOOKUP("lfm",Sprachindex!$A:$W,$Z$7,FALSE)</f>
        <v>ml</v>
      </c>
      <c r="F77" s="113"/>
      <c r="G77" s="113"/>
      <c r="H77" s="113"/>
      <c r="I77" s="113">
        <v>594060</v>
      </c>
      <c r="J77" s="113"/>
      <c r="K77" s="114" t="str">
        <f>VLOOKUP("PREFA Startprofil L = 2.000 mm P.10 Sonderfarbe",Sprachindex!$A:$W,$Z$7,FALSE)</f>
        <v>profil de départ; L = 2 000 mm P.10 autre teinte“</v>
      </c>
      <c r="L77" s="115"/>
      <c r="M77" s="115"/>
      <c r="N77" s="115"/>
      <c r="O77" s="115"/>
      <c r="P77" s="115"/>
      <c r="Q77" s="115"/>
      <c r="R77" s="115"/>
      <c r="S77" s="115"/>
      <c r="T77" s="115"/>
      <c r="U77" s="116"/>
      <c r="V77" s="122" t="str">
        <f>IF(C77&gt;0,ROUNDUP(C77/2,0)*2 &amp; " " &amp; VLOOKUP("lfm",Sprachindex!$A:$W,$Z$7,FALSE),"")</f>
        <v/>
      </c>
      <c r="W77" s="123"/>
      <c r="X77" s="120"/>
      <c r="Y77" s="121"/>
    </row>
    <row r="78" spans="2:35" ht="24.95" customHeight="1" x14ac:dyDescent="0.25">
      <c r="C78" s="117"/>
      <c r="D78" s="118"/>
      <c r="E78" s="113" t="str">
        <f>VLOOKUP("lfm",Sprachindex!$A:$W,$Z$7,FALSE)</f>
        <v>ml</v>
      </c>
      <c r="F78" s="113"/>
      <c r="G78" s="113"/>
      <c r="H78" s="113"/>
      <c r="I78" s="113">
        <v>594060</v>
      </c>
      <c r="J78" s="113"/>
      <c r="K78" s="114" t="str">
        <f>VLOOKUP("PREFA Eckwinkel Außen L = 2.500 mm",Sprachindex!$A:$W,$Z$7,FALSE)</f>
        <v>équerre d’angle sortant ; L = 2 500 mm</v>
      </c>
      <c r="L78" s="115"/>
      <c r="M78" s="115"/>
      <c r="N78" s="115"/>
      <c r="O78" s="115"/>
      <c r="P78" s="115"/>
      <c r="Q78" s="115"/>
      <c r="R78" s="115"/>
      <c r="S78" s="115"/>
      <c r="T78" s="115"/>
      <c r="U78" s="116"/>
      <c r="V78" s="122" t="str">
        <f>IF(C78&gt;0,ROUNDUP(C78/2.5,0)*2.5 &amp; " " &amp; VLOOKUP("lfm",Sprachindex!$A:$W,$Z$7,FALSE),"")</f>
        <v/>
      </c>
      <c r="W78" s="123"/>
      <c r="X78" s="120"/>
      <c r="Y78" s="121"/>
    </row>
    <row r="79" spans="2:35" ht="24.95" customHeight="1" x14ac:dyDescent="0.25">
      <c r="C79" s="117"/>
      <c r="D79" s="118"/>
      <c r="E79" s="113" t="str">
        <f>VLOOKUP("lfm",Sprachindex!$A:$W,$Z$7,FALSE)</f>
        <v>ml</v>
      </c>
      <c r="F79" s="113"/>
      <c r="G79" s="113"/>
      <c r="H79" s="113"/>
      <c r="I79" s="113">
        <v>594060</v>
      </c>
      <c r="J79" s="113"/>
      <c r="K79" s="114" t="str">
        <f>VLOOKUP("PREFA Leibungsblech L = 2.500 mm",Sprachindex!$A:$W,$Z$7,FALSE)</f>
        <v>profil d’embrasure ; L = 2 500 mm</v>
      </c>
      <c r="L79" s="115"/>
      <c r="M79" s="115"/>
      <c r="N79" s="115"/>
      <c r="O79" s="115"/>
      <c r="P79" s="115"/>
      <c r="Q79" s="115"/>
      <c r="R79" s="115"/>
      <c r="S79" s="115"/>
      <c r="T79" s="115"/>
      <c r="U79" s="116"/>
      <c r="V79" s="122" t="str">
        <f>IF(C79&gt;0,ROUNDUP(C79/2.5,0)*2.5 &amp; " " &amp; VLOOKUP("lfm",Sprachindex!$A:$W,$Z$7,FALSE),"")</f>
        <v/>
      </c>
      <c r="W79" s="123"/>
      <c r="X79" s="120"/>
      <c r="Y79" s="121"/>
    </row>
    <row r="80" spans="2:35" ht="24.95" customHeight="1" x14ac:dyDescent="0.25">
      <c r="C80" s="117"/>
      <c r="D80" s="118"/>
      <c r="E80" s="113" t="str">
        <f>VLOOKUP("lfm",Sprachindex!$A:$W,$Z$7,FALSE)</f>
        <v>ml</v>
      </c>
      <c r="F80" s="113"/>
      <c r="G80" s="113"/>
      <c r="H80" s="113"/>
      <c r="I80" s="113">
        <v>594060</v>
      </c>
      <c r="J80" s="113"/>
      <c r="K80" s="114" t="str">
        <f>VLOOKUP("PREFA Abschlussprofil L = 2.500 mm",Sprachindex!$A:$W,$Z$7,FALSE)</f>
        <v>profil de fin ; L = 2 500 mm</v>
      </c>
      <c r="L80" s="115"/>
      <c r="M80" s="115"/>
      <c r="N80" s="115"/>
      <c r="O80" s="115"/>
      <c r="P80" s="115"/>
      <c r="Q80" s="115"/>
      <c r="R80" s="115"/>
      <c r="S80" s="115"/>
      <c r="T80" s="115"/>
      <c r="U80" s="116"/>
      <c r="V80" s="122" t="str">
        <f>IF(C80&gt;0,ROUNDUP(C80/2.5,0)*2.5 &amp; " " &amp; VLOOKUP("lfm",Sprachindex!$A:$W,$Z$7,FALSE),"")</f>
        <v/>
      </c>
      <c r="W80" s="123"/>
      <c r="X80" s="120"/>
      <c r="Y80" s="121"/>
    </row>
    <row r="81" spans="3:35" ht="24.95" customHeight="1" x14ac:dyDescent="0.25">
      <c r="C81" s="117"/>
      <c r="D81" s="118"/>
      <c r="E81" s="113" t="str">
        <f>VLOOKUP("lfm",Sprachindex!$A:$W,$Z$7,FALSE)</f>
        <v>ml</v>
      </c>
      <c r="F81" s="113"/>
      <c r="G81" s="113"/>
      <c r="H81" s="113"/>
      <c r="I81" s="113">
        <v>594060</v>
      </c>
      <c r="J81" s="113"/>
      <c r="K81" s="114" t="str">
        <f>VLOOKUP("PREFA Aussenecke 2-teilig L = 2.000 mm",Sprachindex!$A:$W,$Z$7,FALSE)</f>
        <v>profil d’angle sortant en croix ; L=2 000 mm</v>
      </c>
      <c r="L81" s="115"/>
      <c r="M81" s="115"/>
      <c r="N81" s="115"/>
      <c r="O81" s="115"/>
      <c r="P81" s="115"/>
      <c r="Q81" s="115"/>
      <c r="R81" s="115"/>
      <c r="S81" s="115"/>
      <c r="T81" s="115"/>
      <c r="U81" s="116"/>
      <c r="V81" s="122" t="str">
        <f>IF(C81&gt;0,ROUNDUP(C81/2,0)*2 &amp; " " &amp; VLOOKUP("lfm",Sprachindex!$A:$W,$Z$7,FALSE),"")</f>
        <v/>
      </c>
      <c r="W81" s="123"/>
      <c r="X81" s="120"/>
      <c r="Y81" s="121"/>
    </row>
    <row r="82" spans="3:35" ht="24.95" customHeight="1" x14ac:dyDescent="0.25">
      <c r="C82" s="117"/>
      <c r="D82" s="118"/>
      <c r="E82" s="113" t="str">
        <f>VLOOKUP("lfm",Sprachindex!$A:$W,$Z$7,FALSE)</f>
        <v>ml</v>
      </c>
      <c r="F82" s="113"/>
      <c r="G82" s="113"/>
      <c r="H82" s="113"/>
      <c r="I82" s="113">
        <v>594060</v>
      </c>
      <c r="J82" s="113"/>
      <c r="K82" s="114" t="str">
        <f>VLOOKUP("PREFA Stoßblech L = 2.000 mm",Sprachindex!$A:$W,$Z$7,FALSE)</f>
        <v>profil de raccord T ; L = 2 000 mm</v>
      </c>
      <c r="L82" s="115"/>
      <c r="M82" s="115"/>
      <c r="N82" s="115"/>
      <c r="O82" s="115"/>
      <c r="P82" s="115"/>
      <c r="Q82" s="115"/>
      <c r="R82" s="115"/>
      <c r="S82" s="115"/>
      <c r="T82" s="115"/>
      <c r="U82" s="116"/>
      <c r="V82" s="122" t="str">
        <f>IF(C82&gt;0,ROUNDUP(C82/2,0)*2 &amp; " " &amp; VLOOKUP("lfm",Sprachindex!$A:$W,$Z$7,FALSE),"")</f>
        <v/>
      </c>
      <c r="W82" s="123"/>
      <c r="X82" s="120"/>
      <c r="Y82" s="121"/>
    </row>
    <row r="83" spans="3:35" ht="24.95" customHeight="1" x14ac:dyDescent="0.25">
      <c r="C83" s="117"/>
      <c r="D83" s="118"/>
      <c r="E83" s="113" t="str">
        <f>VLOOKUP("lfm",Sprachindex!$A:$W,$Z$7,FALSE)</f>
        <v>ml</v>
      </c>
      <c r="F83" s="113"/>
      <c r="G83" s="113"/>
      <c r="H83" s="113"/>
      <c r="I83" s="113">
        <v>594060</v>
      </c>
      <c r="J83" s="113"/>
      <c r="K83" s="114" t="str">
        <f>VLOOKUP("PREFA Innenecke L = 2.000 mm",Sprachindex!$A:$W,$Z$7,FALSE)</f>
        <v>angle rentrant ; L = 2 000 mm</v>
      </c>
      <c r="L83" s="115"/>
      <c r="M83" s="115"/>
      <c r="N83" s="115"/>
      <c r="O83" s="115"/>
      <c r="P83" s="115"/>
      <c r="Q83" s="115"/>
      <c r="R83" s="115"/>
      <c r="S83" s="115"/>
      <c r="T83" s="115"/>
      <c r="U83" s="116"/>
      <c r="V83" s="122" t="str">
        <f>IF(C83&gt;0,ROUNDUP(C83/2,0)*2 &amp; " " &amp; VLOOKUP("lfm",Sprachindex!$A:$W,$Z$7,FALSE),"")</f>
        <v/>
      </c>
      <c r="W83" s="123"/>
      <c r="X83" s="120"/>
      <c r="Y83" s="121"/>
    </row>
    <row r="84" spans="3:35" ht="24.95" customHeight="1" x14ac:dyDescent="0.25">
      <c r="C84" s="117"/>
      <c r="D84" s="118"/>
      <c r="E84" s="113" t="str">
        <f>VLOOKUP("lfm",Sprachindex!$A:$W,$Z$7,FALSE)</f>
        <v>ml</v>
      </c>
      <c r="F84" s="113"/>
      <c r="G84" s="113"/>
      <c r="H84" s="113"/>
      <c r="I84" s="113">
        <v>594060</v>
      </c>
      <c r="J84" s="113"/>
      <c r="K84" s="114" t="str">
        <f>VLOOKUP("PREFA Innenecke L = 2.000 mm (mehrteilig)",Sprachindex!$A:$W,$Z$7,FALSE)</f>
        <v>angle rentrant PREFA, L = 2 000 mm (plusieurs éléments)</v>
      </c>
      <c r="L84" s="115"/>
      <c r="M84" s="115"/>
      <c r="N84" s="115"/>
      <c r="O84" s="115"/>
      <c r="P84" s="115"/>
      <c r="Q84" s="115"/>
      <c r="R84" s="115"/>
      <c r="S84" s="115"/>
      <c r="T84" s="115"/>
      <c r="U84" s="116"/>
      <c r="V84" s="122" t="str">
        <f>IF(C84&gt;0,ROUNDUP(C84/2,0)*2 &amp; " " &amp; VLOOKUP("lfm",Sprachindex!$A:$W,$Z$7,FALSE),"")</f>
        <v/>
      </c>
      <c r="W84" s="123"/>
      <c r="X84" s="120"/>
      <c r="Y84" s="121"/>
    </row>
    <row r="85" spans="3:35" ht="24.95" customHeight="1" x14ac:dyDescent="0.25">
      <c r="C85" s="117"/>
      <c r="D85" s="118"/>
      <c r="E85" s="113" t="str">
        <f>VLOOKUP("lfm",Sprachindex!$A:$W,$Z$7,FALSE)</f>
        <v>ml</v>
      </c>
      <c r="F85" s="113"/>
      <c r="G85" s="113"/>
      <c r="H85" s="113"/>
      <c r="I85" s="113">
        <v>594060</v>
      </c>
      <c r="J85" s="113"/>
      <c r="K85" s="114" t="str">
        <f>VLOOKUP("PREFA Sockelprofil L = 2.500 mm",Sprachindex!$A:$W,$Z$7,FALSE)</f>
        <v>profil de socle ; L = 2 500 mm</v>
      </c>
      <c r="L85" s="115"/>
      <c r="M85" s="115"/>
      <c r="N85" s="115"/>
      <c r="O85" s="115"/>
      <c r="P85" s="115"/>
      <c r="Q85" s="115"/>
      <c r="R85" s="115"/>
      <c r="S85" s="115"/>
      <c r="T85" s="115"/>
      <c r="U85" s="116"/>
      <c r="V85" s="122" t="str">
        <f>IF(C85&gt;0,ROUNDUP(C85/2.5,0)*2.5 &amp; " " &amp; VLOOKUP("lfm",Sprachindex!$A:$W,$Z$7,FALSE),"")</f>
        <v/>
      </c>
      <c r="W85" s="123"/>
      <c r="X85" s="120"/>
      <c r="Y85" s="121"/>
      <c r="AC85" s="20" t="s">
        <v>58</v>
      </c>
      <c r="AD85" s="20" t="s">
        <v>53</v>
      </c>
      <c r="AE85" s="20" t="s">
        <v>52</v>
      </c>
      <c r="AF85" s="20" t="s">
        <v>50</v>
      </c>
      <c r="AG85" s="20" t="s">
        <v>48</v>
      </c>
      <c r="AH85" s="20" t="s">
        <v>47</v>
      </c>
      <c r="AI85" s="16" t="s">
        <v>38</v>
      </c>
    </row>
    <row r="86" spans="3:35" ht="24.95" customHeight="1" x14ac:dyDescent="0.25">
      <c r="C86" s="117"/>
      <c r="D86" s="118"/>
      <c r="E86" s="113" t="str">
        <f>VLOOKUP("STK",Sprachindex!$A:$W,$Z$7,FALSE)</f>
        <v>pc.</v>
      </c>
      <c r="F86" s="113"/>
      <c r="G86" s="113"/>
      <c r="H86" s="113"/>
      <c r="I86" s="113" t="e">
        <f t="shared" ref="I86:I87" si="6">AI86</f>
        <v>#N/A</v>
      </c>
      <c r="J86" s="113"/>
      <c r="K86" s="114" t="str">
        <f>VLOOKUP("PREFA Montagelochabdeckung Ø 30 mm",Sprachindex!$A:$W,$Z$7,FALSE)</f>
        <v>cache-trou Ø 30 mm</v>
      </c>
      <c r="L86" s="115"/>
      <c r="M86" s="115"/>
      <c r="N86" s="115"/>
      <c r="O86" s="115"/>
      <c r="P86" s="115"/>
      <c r="Q86" s="115"/>
      <c r="R86" s="115"/>
      <c r="S86" s="115"/>
      <c r="T86" s="115"/>
      <c r="U86" s="116"/>
      <c r="V86" s="122" t="str">
        <f>IF(C86&gt;0,C86 &amp; " " &amp; VLOOKUP("Stk",Sprachindex!$A:$W,$Z$7,FALSE),"")</f>
        <v/>
      </c>
      <c r="W86" s="123"/>
      <c r="X86" s="120"/>
      <c r="Y86" s="121"/>
      <c r="AC86" s="18"/>
      <c r="AD86" s="18"/>
      <c r="AE86" s="18"/>
      <c r="AF86" s="18"/>
      <c r="AG86" s="18"/>
      <c r="AH86" s="18"/>
      <c r="AI86" s="16" t="e">
        <f t="shared" ref="AI86:AI87" si="7">VLOOKUP(AC86,AC86:AH86,$Z$20,FALSE)</f>
        <v>#N/A</v>
      </c>
    </row>
    <row r="87" spans="3:35" ht="24.95" customHeight="1" x14ac:dyDescent="0.25">
      <c r="C87" s="165"/>
      <c r="D87" s="166"/>
      <c r="E87" s="167" t="str">
        <f>VLOOKUP("STK",Sprachindex!$A:$W,$Z$7,FALSE)</f>
        <v>pc.</v>
      </c>
      <c r="F87" s="167"/>
      <c r="G87" s="167"/>
      <c r="H87" s="167"/>
      <c r="I87" s="113" t="e">
        <f t="shared" si="6"/>
        <v>#N/A</v>
      </c>
      <c r="J87" s="113"/>
      <c r="K87" s="168" t="str">
        <f>VLOOKUP("PREFA Patentnieten 4 x 9,5 mm",Sprachindex!$A:$W,$Z$7,FALSE)</f>
        <v>rivets brevetés 4 × 10 mm</v>
      </c>
      <c r="L87" s="169"/>
      <c r="M87" s="169"/>
      <c r="N87" s="169"/>
      <c r="O87" s="169"/>
      <c r="P87" s="169"/>
      <c r="Q87" s="169"/>
      <c r="R87" s="169"/>
      <c r="S87" s="169"/>
      <c r="T87" s="169"/>
      <c r="U87" s="170"/>
      <c r="V87" s="155" t="str">
        <f>IF(C87&gt;0,ROUNDUP(C87/250,0)*250 &amp; " " &amp; VLOOKUP("Stk",Sprachindex!$A:$W,$Z$7,FALSE),"")</f>
        <v/>
      </c>
      <c r="W87" s="156"/>
      <c r="X87" s="1"/>
      <c r="AC87" s="18"/>
      <c r="AD87" s="18"/>
      <c r="AE87" s="18"/>
      <c r="AF87" s="18"/>
      <c r="AG87" s="18"/>
      <c r="AH87" s="18"/>
      <c r="AI87" s="16" t="e">
        <f t="shared" si="7"/>
        <v>#N/A</v>
      </c>
    </row>
    <row r="88" spans="3:35" ht="24.95" customHeight="1" x14ac:dyDescent="0.25">
      <c r="C88" s="117"/>
      <c r="D88" s="118"/>
      <c r="E88" s="171"/>
      <c r="F88" s="171"/>
      <c r="G88" s="171"/>
      <c r="H88" s="171"/>
      <c r="I88" s="171"/>
      <c r="J88" s="171"/>
      <c r="K88" s="172"/>
      <c r="L88" s="173"/>
      <c r="M88" s="173"/>
      <c r="N88" s="173"/>
      <c r="O88" s="173"/>
      <c r="P88" s="173"/>
      <c r="Q88" s="173"/>
      <c r="R88" s="173"/>
      <c r="S88" s="173"/>
      <c r="T88" s="173"/>
      <c r="U88" s="174"/>
      <c r="V88" s="153" t="str">
        <f>IF(C88&gt;0,ROUNDUP(C88/250,0)*250 &amp; " " &amp; VLOOKUP("Stk",Sprachindex!$A:$W,$Z$7,FALSE),"")</f>
        <v/>
      </c>
      <c r="W88" s="154"/>
      <c r="X88" s="1"/>
    </row>
    <row r="89" spans="3:35" ht="24.95" customHeight="1" thickBot="1" x14ac:dyDescent="0.3">
      <c r="C89" s="163"/>
      <c r="D89" s="164"/>
      <c r="E89" s="150"/>
      <c r="F89" s="150"/>
      <c r="G89" s="150"/>
      <c r="H89" s="150"/>
      <c r="I89" s="150"/>
      <c r="J89" s="150"/>
      <c r="K89" s="110"/>
      <c r="L89" s="111"/>
      <c r="M89" s="111"/>
      <c r="N89" s="111"/>
      <c r="O89" s="111"/>
      <c r="P89" s="111"/>
      <c r="Q89" s="111"/>
      <c r="R89" s="111"/>
      <c r="S89" s="111"/>
      <c r="T89" s="111"/>
      <c r="U89" s="112"/>
      <c r="V89" s="151" t="str">
        <f>IF(C89&gt;0,ROUNDUP(C89/250,0)*250 &amp; " " &amp; VLOOKUP("Stk",Sprachindex!$A:$W,$Z$7,FALSE),"")</f>
        <v/>
      </c>
      <c r="W89" s="152"/>
      <c r="X89" s="1"/>
    </row>
    <row r="90" spans="3:35" s="7" customFormat="1" ht="9.9499999999999993" customHeight="1" x14ac:dyDescent="0.25">
      <c r="D90" s="15"/>
      <c r="E90" s="14"/>
      <c r="F90" s="14"/>
      <c r="G90" s="14"/>
      <c r="H90" s="14"/>
      <c r="I90" s="14"/>
      <c r="J90" s="14"/>
      <c r="K90" s="13"/>
      <c r="L90" s="13"/>
      <c r="M90" s="13"/>
      <c r="N90" s="10"/>
      <c r="O90" s="9"/>
      <c r="P90" s="8"/>
      <c r="AB90" s="1"/>
    </row>
    <row r="91" spans="3:35" s="7" customFormat="1" ht="9.9499999999999993" customHeight="1" x14ac:dyDescent="0.25"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AB91" s="1"/>
    </row>
    <row r="92" spans="3:35" s="7" customFormat="1" ht="9.9499999999999993" customHeight="1" x14ac:dyDescent="0.25">
      <c r="C92" s="12" t="str">
        <f>VLOOKUP("Zusatzvermerk:",Sprachindex!$A:$W,$Z$7,FALSE)</f>
        <v>Indications complémentaires :</v>
      </c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AB92" s="1"/>
    </row>
    <row r="93" spans="3:35" s="7" customFormat="1" ht="9.9499999999999993" customHeight="1" x14ac:dyDescent="0.25"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AB93" s="1"/>
    </row>
    <row r="94" spans="3:35" s="7" customFormat="1" ht="9.9499999999999993" customHeight="1" x14ac:dyDescent="0.25"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AB94" s="1"/>
    </row>
    <row r="95" spans="3:35" s="7" customFormat="1" ht="9.9499999999999993" customHeight="1" x14ac:dyDescent="0.25"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0"/>
      <c r="O95" s="9"/>
      <c r="P95" s="8"/>
    </row>
    <row r="96" spans="3:35" ht="9.9499999999999993" customHeight="1" x14ac:dyDescent="0.25"/>
    <row r="97" spans="1:25" ht="14.25" customHeight="1" x14ac:dyDescent="0.25">
      <c r="A97" s="6" t="str">
        <f>VLOOKUP("Anwendungstechnik",Sprachindex!$A:$W,$Z$7,FALSE)</f>
        <v>Service technique</v>
      </c>
      <c r="B97" s="4"/>
      <c r="C97" s="4"/>
      <c r="D97" s="141"/>
      <c r="E97" s="141"/>
      <c r="F97" s="141"/>
      <c r="G97" s="141"/>
      <c r="H97" s="141"/>
      <c r="I97" s="141"/>
      <c r="J97" s="141"/>
      <c r="K97" s="141"/>
      <c r="L97" s="141"/>
      <c r="M97" s="4"/>
      <c r="N97" s="4"/>
      <c r="O97" s="4"/>
      <c r="P97" s="5"/>
      <c r="Q97" s="4"/>
      <c r="R97" s="4"/>
      <c r="S97" s="4"/>
      <c r="T97" s="4"/>
      <c r="U97" s="4"/>
      <c r="V97" s="4"/>
      <c r="W97" s="3" t="str">
        <f>VLOOKUP("Stand:",Sprachindex!$A:$W,$Z$7,FALSE)</f>
        <v>Version :</v>
      </c>
      <c r="X97" s="148">
        <f>'Siding138+200+300+400'!X58:Y58</f>
        <v>44692</v>
      </c>
      <c r="Y97" s="149"/>
    </row>
    <row r="98" spans="1:25" ht="14.25" hidden="1" customHeight="1" x14ac:dyDescent="0.25"/>
    <row r="99" spans="1:25" ht="14.25" hidden="1" customHeight="1" x14ac:dyDescent="0.25"/>
    <row r="100" spans="1:25" ht="14.25" hidden="1" customHeight="1" x14ac:dyDescent="0.25"/>
    <row r="101" spans="1:25" ht="0" hidden="1" customHeight="1" x14ac:dyDescent="0.25"/>
  </sheetData>
  <sheetProtection password="8D71" sheet="1" objects="1" scenarios="1" selectLockedCells="1" autoFilter="0"/>
  <mergeCells count="297">
    <mergeCell ref="D10:H10"/>
    <mergeCell ref="V10:W10"/>
    <mergeCell ref="D11:H11"/>
    <mergeCell ref="V11:W11"/>
    <mergeCell ref="D12:H12"/>
    <mergeCell ref="V12:W12"/>
    <mergeCell ref="U4:X4"/>
    <mergeCell ref="U5:X5"/>
    <mergeCell ref="U6:X6"/>
    <mergeCell ref="D8:H8"/>
    <mergeCell ref="U8:W8"/>
    <mergeCell ref="D9:H9"/>
    <mergeCell ref="V9:W9"/>
    <mergeCell ref="D16:H16"/>
    <mergeCell ref="V16:W16"/>
    <mergeCell ref="D17:H17"/>
    <mergeCell ref="V17:W17"/>
    <mergeCell ref="D18:H18"/>
    <mergeCell ref="V18:W18"/>
    <mergeCell ref="D13:H13"/>
    <mergeCell ref="V13:W13"/>
    <mergeCell ref="O14:S15"/>
    <mergeCell ref="V14:W14"/>
    <mergeCell ref="D15:H15"/>
    <mergeCell ref="V15:W15"/>
    <mergeCell ref="B29:B30"/>
    <mergeCell ref="C29:C30"/>
    <mergeCell ref="E29:F30"/>
    <mergeCell ref="H29:H30"/>
    <mergeCell ref="I29:I30"/>
    <mergeCell ref="K29:L30"/>
    <mergeCell ref="V19:W19"/>
    <mergeCell ref="V20:W20"/>
    <mergeCell ref="V21:W21"/>
    <mergeCell ref="V22:W22"/>
    <mergeCell ref="A26:Y26"/>
    <mergeCell ref="B28:D28"/>
    <mergeCell ref="E28:F28"/>
    <mergeCell ref="H28:J28"/>
    <mergeCell ref="K28:L28"/>
    <mergeCell ref="E34:F34"/>
    <mergeCell ref="K34:L34"/>
    <mergeCell ref="E35:F35"/>
    <mergeCell ref="K35:L35"/>
    <mergeCell ref="E36:F36"/>
    <mergeCell ref="K36:L36"/>
    <mergeCell ref="E31:F31"/>
    <mergeCell ref="K31:L31"/>
    <mergeCell ref="E32:F32"/>
    <mergeCell ref="K32:L32"/>
    <mergeCell ref="E33:F33"/>
    <mergeCell ref="K33:L33"/>
    <mergeCell ref="E40:F40"/>
    <mergeCell ref="K40:L40"/>
    <mergeCell ref="E41:F41"/>
    <mergeCell ref="K41:L41"/>
    <mergeCell ref="E42:F42"/>
    <mergeCell ref="K42:L42"/>
    <mergeCell ref="E37:F37"/>
    <mergeCell ref="K37:L37"/>
    <mergeCell ref="E38:F38"/>
    <mergeCell ref="K38:L38"/>
    <mergeCell ref="E39:F39"/>
    <mergeCell ref="K39:L39"/>
    <mergeCell ref="E46:F46"/>
    <mergeCell ref="K46:L46"/>
    <mergeCell ref="E47:F47"/>
    <mergeCell ref="K47:L47"/>
    <mergeCell ref="E48:F48"/>
    <mergeCell ref="K48:L48"/>
    <mergeCell ref="E43:F43"/>
    <mergeCell ref="K43:L43"/>
    <mergeCell ref="E44:F44"/>
    <mergeCell ref="K44:L44"/>
    <mergeCell ref="E45:F45"/>
    <mergeCell ref="K45:L45"/>
    <mergeCell ref="E52:F52"/>
    <mergeCell ref="K52:L52"/>
    <mergeCell ref="E53:F53"/>
    <mergeCell ref="K53:L53"/>
    <mergeCell ref="E54:F54"/>
    <mergeCell ref="K54:L54"/>
    <mergeCell ref="E49:F49"/>
    <mergeCell ref="K49:L49"/>
    <mergeCell ref="E50:F50"/>
    <mergeCell ref="K50:L50"/>
    <mergeCell ref="E51:F51"/>
    <mergeCell ref="K51:L51"/>
    <mergeCell ref="C60:D60"/>
    <mergeCell ref="AC60:AH60"/>
    <mergeCell ref="C61:D61"/>
    <mergeCell ref="E61:F61"/>
    <mergeCell ref="G61:H61"/>
    <mergeCell ref="I61:J61"/>
    <mergeCell ref="K61:U61"/>
    <mergeCell ref="V61:W61"/>
    <mergeCell ref="E55:F55"/>
    <mergeCell ref="K55:L55"/>
    <mergeCell ref="E56:F56"/>
    <mergeCell ref="K56:L56"/>
    <mergeCell ref="D58:L58"/>
    <mergeCell ref="X58:Y58"/>
    <mergeCell ref="C63:D63"/>
    <mergeCell ref="E63:F63"/>
    <mergeCell ref="G63:H63"/>
    <mergeCell ref="I63:J63"/>
    <mergeCell ref="K63:U63"/>
    <mergeCell ref="V63:W63"/>
    <mergeCell ref="C62:D62"/>
    <mergeCell ref="E62:F62"/>
    <mergeCell ref="G62:H62"/>
    <mergeCell ref="I62:J62"/>
    <mergeCell ref="K62:U62"/>
    <mergeCell ref="V62:W62"/>
    <mergeCell ref="X64:Y64"/>
    <mergeCell ref="C65:D65"/>
    <mergeCell ref="E65:F65"/>
    <mergeCell ref="G65:H65"/>
    <mergeCell ref="I65:J65"/>
    <mergeCell ref="K65:U65"/>
    <mergeCell ref="V65:W65"/>
    <mergeCell ref="X65:Y65"/>
    <mergeCell ref="C64:D64"/>
    <mergeCell ref="E64:F64"/>
    <mergeCell ref="G64:H64"/>
    <mergeCell ref="I64:J64"/>
    <mergeCell ref="K64:U64"/>
    <mergeCell ref="V64:W64"/>
    <mergeCell ref="X66:Y66"/>
    <mergeCell ref="C67:D67"/>
    <mergeCell ref="E67:F67"/>
    <mergeCell ref="G67:H67"/>
    <mergeCell ref="I67:J67"/>
    <mergeCell ref="K67:U67"/>
    <mergeCell ref="V67:W67"/>
    <mergeCell ref="X67:Y67"/>
    <mergeCell ref="C66:D66"/>
    <mergeCell ref="E66:F66"/>
    <mergeCell ref="G66:H66"/>
    <mergeCell ref="I66:J66"/>
    <mergeCell ref="K66:U66"/>
    <mergeCell ref="V66:W66"/>
    <mergeCell ref="X68:Y68"/>
    <mergeCell ref="C69:D69"/>
    <mergeCell ref="E69:F69"/>
    <mergeCell ref="G69:H69"/>
    <mergeCell ref="I69:J69"/>
    <mergeCell ref="K69:U69"/>
    <mergeCell ref="V69:W69"/>
    <mergeCell ref="X69:Y69"/>
    <mergeCell ref="C68:D68"/>
    <mergeCell ref="E68:F68"/>
    <mergeCell ref="G68:H68"/>
    <mergeCell ref="I68:J68"/>
    <mergeCell ref="K68:U68"/>
    <mergeCell ref="V68:W68"/>
    <mergeCell ref="X70:Y70"/>
    <mergeCell ref="C71:D71"/>
    <mergeCell ref="E71:F71"/>
    <mergeCell ref="G71:H71"/>
    <mergeCell ref="I71:J71"/>
    <mergeCell ref="K71:U71"/>
    <mergeCell ref="V71:W71"/>
    <mergeCell ref="X71:Y71"/>
    <mergeCell ref="C70:D70"/>
    <mergeCell ref="E70:F70"/>
    <mergeCell ref="G70:H70"/>
    <mergeCell ref="I70:J70"/>
    <mergeCell ref="K70:U70"/>
    <mergeCell ref="V70:W70"/>
    <mergeCell ref="X72:Y72"/>
    <mergeCell ref="C73:D73"/>
    <mergeCell ref="E73:F73"/>
    <mergeCell ref="G73:H73"/>
    <mergeCell ref="I73:J73"/>
    <mergeCell ref="K73:U73"/>
    <mergeCell ref="V73:W73"/>
    <mergeCell ref="X73:Y73"/>
    <mergeCell ref="C72:D72"/>
    <mergeCell ref="E72:F72"/>
    <mergeCell ref="G72:H72"/>
    <mergeCell ref="I72:J72"/>
    <mergeCell ref="K72:U72"/>
    <mergeCell ref="V72:W72"/>
    <mergeCell ref="X74:Y74"/>
    <mergeCell ref="C75:D75"/>
    <mergeCell ref="E75:F75"/>
    <mergeCell ref="G75:H75"/>
    <mergeCell ref="I75:J75"/>
    <mergeCell ref="K75:U75"/>
    <mergeCell ref="V75:W75"/>
    <mergeCell ref="X75:Y75"/>
    <mergeCell ref="C74:D74"/>
    <mergeCell ref="E74:F74"/>
    <mergeCell ref="G74:H74"/>
    <mergeCell ref="I74:J74"/>
    <mergeCell ref="K74:U74"/>
    <mergeCell ref="V74:W74"/>
    <mergeCell ref="X76:Y76"/>
    <mergeCell ref="C77:D77"/>
    <mergeCell ref="E77:F77"/>
    <mergeCell ref="G77:H77"/>
    <mergeCell ref="I77:J77"/>
    <mergeCell ref="K77:U77"/>
    <mergeCell ref="V77:W77"/>
    <mergeCell ref="X77:Y77"/>
    <mergeCell ref="C76:D76"/>
    <mergeCell ref="E76:F76"/>
    <mergeCell ref="G76:H76"/>
    <mergeCell ref="I76:J76"/>
    <mergeCell ref="K76:U76"/>
    <mergeCell ref="V76:W76"/>
    <mergeCell ref="X78:Y78"/>
    <mergeCell ref="C79:D79"/>
    <mergeCell ref="E79:F79"/>
    <mergeCell ref="G79:H79"/>
    <mergeCell ref="I79:J79"/>
    <mergeCell ref="K79:U79"/>
    <mergeCell ref="V79:W79"/>
    <mergeCell ref="X79:Y79"/>
    <mergeCell ref="C78:D78"/>
    <mergeCell ref="E78:F78"/>
    <mergeCell ref="G78:H78"/>
    <mergeCell ref="I78:J78"/>
    <mergeCell ref="K78:U78"/>
    <mergeCell ref="V78:W78"/>
    <mergeCell ref="X80:Y80"/>
    <mergeCell ref="C81:D81"/>
    <mergeCell ref="E81:F81"/>
    <mergeCell ref="G81:H81"/>
    <mergeCell ref="I81:J81"/>
    <mergeCell ref="K81:U81"/>
    <mergeCell ref="V81:W81"/>
    <mergeCell ref="X81:Y81"/>
    <mergeCell ref="C80:D80"/>
    <mergeCell ref="E80:F80"/>
    <mergeCell ref="G80:H80"/>
    <mergeCell ref="I80:J80"/>
    <mergeCell ref="K80:U80"/>
    <mergeCell ref="V80:W80"/>
    <mergeCell ref="X82:Y82"/>
    <mergeCell ref="C83:D83"/>
    <mergeCell ref="E83:F83"/>
    <mergeCell ref="G83:H83"/>
    <mergeCell ref="I83:J83"/>
    <mergeCell ref="K83:U83"/>
    <mergeCell ref="V83:W83"/>
    <mergeCell ref="X83:Y83"/>
    <mergeCell ref="C82:D82"/>
    <mergeCell ref="E82:F82"/>
    <mergeCell ref="G82:H82"/>
    <mergeCell ref="I82:J82"/>
    <mergeCell ref="K82:U82"/>
    <mergeCell ref="V82:W82"/>
    <mergeCell ref="X84:Y84"/>
    <mergeCell ref="C85:D85"/>
    <mergeCell ref="E85:F85"/>
    <mergeCell ref="G85:H85"/>
    <mergeCell ref="I85:J85"/>
    <mergeCell ref="K85:U85"/>
    <mergeCell ref="V85:W85"/>
    <mergeCell ref="X85:Y85"/>
    <mergeCell ref="C84:D84"/>
    <mergeCell ref="E84:F84"/>
    <mergeCell ref="G84:H84"/>
    <mergeCell ref="I84:J84"/>
    <mergeCell ref="K84:U84"/>
    <mergeCell ref="V84:W84"/>
    <mergeCell ref="C88:D88"/>
    <mergeCell ref="E88:F88"/>
    <mergeCell ref="G88:H88"/>
    <mergeCell ref="I88:J88"/>
    <mergeCell ref="K88:U88"/>
    <mergeCell ref="V88:W88"/>
    <mergeCell ref="X86:Y86"/>
    <mergeCell ref="C87:D87"/>
    <mergeCell ref="E87:F87"/>
    <mergeCell ref="G87:H87"/>
    <mergeCell ref="I87:J87"/>
    <mergeCell ref="K87:U87"/>
    <mergeCell ref="V87:W87"/>
    <mergeCell ref="C86:D86"/>
    <mergeCell ref="E86:F86"/>
    <mergeCell ref="G86:H86"/>
    <mergeCell ref="I86:J86"/>
    <mergeCell ref="K86:U86"/>
    <mergeCell ref="V86:W86"/>
    <mergeCell ref="D91:W92"/>
    <mergeCell ref="D93:W94"/>
    <mergeCell ref="D97:L97"/>
    <mergeCell ref="X97:Y97"/>
    <mergeCell ref="C89:D89"/>
    <mergeCell ref="E89:F89"/>
    <mergeCell ref="G89:H89"/>
    <mergeCell ref="I89:J89"/>
    <mergeCell ref="K89:U89"/>
    <mergeCell ref="V89:W89"/>
  </mergeCells>
  <conditionalFormatting sqref="D8">
    <cfRule type="cellIs" dxfId="24" priority="21" operator="equal">
      <formula>""</formula>
    </cfRule>
  </conditionalFormatting>
  <conditionalFormatting sqref="D9">
    <cfRule type="cellIs" dxfId="23" priority="20" operator="equal">
      <formula>""</formula>
    </cfRule>
  </conditionalFormatting>
  <conditionalFormatting sqref="D12">
    <cfRule type="cellIs" dxfId="22" priority="19" operator="equal">
      <formula>""</formula>
    </cfRule>
  </conditionalFormatting>
  <conditionalFormatting sqref="D17">
    <cfRule type="cellIs" dxfId="21" priority="18" operator="equal">
      <formula>""</formula>
    </cfRule>
  </conditionalFormatting>
  <conditionalFormatting sqref="D11">
    <cfRule type="cellIs" dxfId="20" priority="17" operator="equal">
      <formula>""</formula>
    </cfRule>
  </conditionalFormatting>
  <conditionalFormatting sqref="D16">
    <cfRule type="cellIs" dxfId="19" priority="16" operator="equal">
      <formula>""</formula>
    </cfRule>
  </conditionalFormatting>
  <conditionalFormatting sqref="D15">
    <cfRule type="cellIs" dxfId="18" priority="15" operator="equal">
      <formula>""</formula>
    </cfRule>
  </conditionalFormatting>
  <conditionalFormatting sqref="U4">
    <cfRule type="cellIs" dxfId="17" priority="14" operator="equal">
      <formula>""</formula>
    </cfRule>
  </conditionalFormatting>
  <conditionalFormatting sqref="U5">
    <cfRule type="cellIs" dxfId="16" priority="13" operator="equal">
      <formula>""</formula>
    </cfRule>
  </conditionalFormatting>
  <conditionalFormatting sqref="U6">
    <cfRule type="cellIs" dxfId="15" priority="12" operator="equal">
      <formula>""</formula>
    </cfRule>
  </conditionalFormatting>
  <conditionalFormatting sqref="B28:F56">
    <cfRule type="expression" dxfId="14" priority="11">
      <formula>$Z$31=1</formula>
    </cfRule>
  </conditionalFormatting>
  <conditionalFormatting sqref="H29:L55 H28:J28 H56:J56">
    <cfRule type="expression" dxfId="13" priority="10">
      <formula>$Z$32=1</formula>
    </cfRule>
  </conditionalFormatting>
  <conditionalFormatting sqref="D18">
    <cfRule type="cellIs" dxfId="12" priority="9" operator="equal">
      <formula>""</formula>
    </cfRule>
  </conditionalFormatting>
  <conditionalFormatting sqref="X64:Y64">
    <cfRule type="expression" dxfId="11" priority="8">
      <formula>$B$64&gt;0</formula>
    </cfRule>
  </conditionalFormatting>
  <conditionalFormatting sqref="L9">
    <cfRule type="expression" dxfId="10" priority="6">
      <formula>$Z$8=2</formula>
    </cfRule>
    <cfRule type="expression" dxfId="9" priority="7">
      <formula>$Z$8=1</formula>
    </cfRule>
  </conditionalFormatting>
  <conditionalFormatting sqref="R9">
    <cfRule type="expression" dxfId="8" priority="4">
      <formula>$Z$8=2</formula>
    </cfRule>
    <cfRule type="expression" dxfId="7" priority="5">
      <formula>$Z$8=1</formula>
    </cfRule>
  </conditionalFormatting>
  <conditionalFormatting sqref="U23:U24">
    <cfRule type="expression" dxfId="6" priority="3">
      <formula>$Z$10&lt;&gt;4</formula>
    </cfRule>
  </conditionalFormatting>
  <conditionalFormatting sqref="K28:L28">
    <cfRule type="expression" dxfId="5" priority="2">
      <formula>$Z$31=1</formula>
    </cfRule>
  </conditionalFormatting>
  <conditionalFormatting sqref="A26">
    <cfRule type="expression" dxfId="4" priority="22">
      <formula>#REF!=1</formula>
    </cfRule>
  </conditionalFormatting>
  <conditionalFormatting sqref="K56:L56">
    <cfRule type="expression" dxfId="3" priority="1">
      <formula>$Z$31=1</formula>
    </cfRule>
  </conditionalFormatting>
  <dataValidations count="2">
    <dataValidation type="whole" allowBlank="1" showInputMessage="1" showErrorMessage="1" error="500-2500mm (mit Fuge)_x000a_500-6200mm (ohne Fuge)" sqref="D31:D55 J31:J55">
      <formula1>500</formula1>
      <formula2>IF(OR($Z$12=1),2500,6200)</formula2>
    </dataValidation>
    <dataValidation type="list" allowBlank="1" showInputMessage="1" showErrorMessage="1" sqref="U24">
      <formula1>$AC$5:$AC$17</formula1>
    </dataValidation>
  </dataValidations>
  <pageMargins left="0.11811023622047245" right="0.11811023622047245" top="0.11811023622047245" bottom="0.11811023622047245" header="0.31496062992125984" footer="0.31496062992125984"/>
  <pageSetup paperSize="9" scale="67" fitToHeight="2" orientation="landscape" r:id="rId1"/>
  <rowBreaks count="1" manualBreakCount="1">
    <brk id="58" max="24" man="1"/>
  </rowBreaks>
  <drawing r:id="rId2"/>
  <legacyDrawing r:id="rId3"/>
  <oleObjects>
    <mc:AlternateContent xmlns:mc="http://schemas.openxmlformats.org/markup-compatibility/2006">
      <mc:Choice Requires="x14">
        <oleObject progId="CorelDraw.Graphic.15" shapeId="2083" r:id="rId4">
          <objectPr defaultSize="0" autoPict="0" r:id="rId5">
            <anchor moveWithCells="1" sizeWithCells="1">
              <from>
                <xdr:col>6</xdr:col>
                <xdr:colOff>295275</xdr:colOff>
                <xdr:row>86</xdr:row>
                <xdr:rowOff>28575</xdr:rowOff>
              </from>
              <to>
                <xdr:col>7</xdr:col>
                <xdr:colOff>247650</xdr:colOff>
                <xdr:row>86</xdr:row>
                <xdr:rowOff>295275</xdr:rowOff>
              </to>
            </anchor>
          </objectPr>
        </oleObject>
      </mc:Choice>
      <mc:Fallback>
        <oleObject progId="CorelDraw.Graphic.15" shapeId="2083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Group Box 1">
              <controlPr defaultSize="0" autoFill="0" autoPict="0" altText="">
                <anchor moveWithCells="1">
                  <from>
                    <xdr:col>8</xdr:col>
                    <xdr:colOff>409575</xdr:colOff>
                    <xdr:row>10</xdr:row>
                    <xdr:rowOff>0</xdr:rowOff>
                  </from>
                  <to>
                    <xdr:col>13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7" name="Group Box 2">
              <controlPr defaultSize="0" print="0" autoFill="0" autoPict="0" altText="">
                <anchor moveWithCells="1">
                  <from>
                    <xdr:col>0</xdr:col>
                    <xdr:colOff>161925</xdr:colOff>
                    <xdr:row>19</xdr:row>
                    <xdr:rowOff>0</xdr:rowOff>
                  </from>
                  <to>
                    <xdr:col>15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8" name="Option Button 3">
              <controlPr defaultSize="0" autoFill="0" autoLine="0" autoPict="0" altText="">
                <anchor moveWithCells="1">
                  <from>
                    <xdr:col>2</xdr:col>
                    <xdr:colOff>504825</xdr:colOff>
                    <xdr:row>19</xdr:row>
                    <xdr:rowOff>19050</xdr:rowOff>
                  </from>
                  <to>
                    <xdr:col>4</xdr:col>
                    <xdr:colOff>457200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9" name="Option Button 4">
              <controlPr defaultSize="0" autoFill="0" autoLine="0" autoPict="0" altText="">
                <anchor moveWithCells="1">
                  <from>
                    <xdr:col>2</xdr:col>
                    <xdr:colOff>504825</xdr:colOff>
                    <xdr:row>20</xdr:row>
                    <xdr:rowOff>19050</xdr:rowOff>
                  </from>
                  <to>
                    <xdr:col>4</xdr:col>
                    <xdr:colOff>457200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0" name="Option Button 5">
              <controlPr defaultSize="0" autoFill="0" autoLine="0" autoPict="0" altText="">
                <anchor moveWithCells="1">
                  <from>
                    <xdr:col>5</xdr:col>
                    <xdr:colOff>504825</xdr:colOff>
                    <xdr:row>19</xdr:row>
                    <xdr:rowOff>28575</xdr:rowOff>
                  </from>
                  <to>
                    <xdr:col>7</xdr:col>
                    <xdr:colOff>457200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1" name="Group Box 6">
              <controlPr defaultSize="0" autoFill="0" autoPict="0">
                <anchor moveWithCells="1">
                  <from>
                    <xdr:col>8</xdr:col>
                    <xdr:colOff>419100</xdr:colOff>
                    <xdr:row>7</xdr:row>
                    <xdr:rowOff>0</xdr:rowOff>
                  </from>
                  <to>
                    <xdr:col>19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2" name="Option Button 7">
              <controlPr defaultSize="0" autoFill="0" autoLine="0" autoPict="0">
                <anchor moveWithCells="1">
                  <from>
                    <xdr:col>10</xdr:col>
                    <xdr:colOff>428625</xdr:colOff>
                    <xdr:row>8</xdr:row>
                    <xdr:rowOff>19050</xdr:rowOff>
                  </from>
                  <to>
                    <xdr:col>12</xdr:col>
                    <xdr:colOff>466725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3" name="Option Button 8">
              <controlPr defaultSize="0" autoFill="0" autoLine="0" autoPict="0">
                <anchor moveWithCells="1">
                  <from>
                    <xdr:col>16</xdr:col>
                    <xdr:colOff>438150</xdr:colOff>
                    <xdr:row>8</xdr:row>
                    <xdr:rowOff>19050</xdr:rowOff>
                  </from>
                  <to>
                    <xdr:col>18</xdr:col>
                    <xdr:colOff>38100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4" name="Option Button 9">
              <controlPr defaultSize="0" autoFill="0" autoLine="0" autoPict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11</xdr:col>
                    <xdr:colOff>447675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5" name="Group Box 10">
              <controlPr defaultSize="0" autoFill="0" autoPict="0" altText="">
                <anchor moveWithCells="1">
                  <from>
                    <xdr:col>8</xdr:col>
                    <xdr:colOff>409575</xdr:colOff>
                    <xdr:row>16</xdr:row>
                    <xdr:rowOff>0</xdr:rowOff>
                  </from>
                  <to>
                    <xdr:col>19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6" name="Option Button 11">
              <controlPr defaultSize="0" autoFill="0" autoLine="0" autoPict="0">
                <anchor moveWithCells="1">
                  <from>
                    <xdr:col>14</xdr:col>
                    <xdr:colOff>428625</xdr:colOff>
                    <xdr:row>17</xdr:row>
                    <xdr:rowOff>28575</xdr:rowOff>
                  </from>
                  <to>
                    <xdr:col>15</xdr:col>
                    <xdr:colOff>314325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7" name="Option Button 12">
              <controlPr defaultSize="0" autoFill="0" autoLine="0" autoPict="0">
                <anchor moveWithCells="1">
                  <from>
                    <xdr:col>16</xdr:col>
                    <xdr:colOff>438150</xdr:colOff>
                    <xdr:row>17</xdr:row>
                    <xdr:rowOff>28575</xdr:rowOff>
                  </from>
                  <to>
                    <xdr:col>17</xdr:col>
                    <xdr:colOff>323850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8" name="Option Button 13">
              <controlPr defaultSize="0" autoFill="0" autoLine="0" autoPict="0" altText="">
                <anchor moveWithCells="1">
                  <from>
                    <xdr:col>18</xdr:col>
                    <xdr:colOff>352425</xdr:colOff>
                    <xdr:row>20</xdr:row>
                    <xdr:rowOff>0</xdr:rowOff>
                  </from>
                  <to>
                    <xdr:col>18</xdr:col>
                    <xdr:colOff>400050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9" name="Group Box 14">
              <controlPr defaultSize="0" autoFill="0" autoPict="0" altText="">
                <anchor moveWithCells="1">
                  <from>
                    <xdr:col>8</xdr:col>
                    <xdr:colOff>409575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20" name="Option Button 15">
              <controlPr defaultSize="0" autoFill="0" autoLine="0" autoPict="0">
                <anchor moveWithCells="1">
                  <from>
                    <xdr:col>10</xdr:col>
                    <xdr:colOff>428625</xdr:colOff>
                    <xdr:row>13</xdr:row>
                    <xdr:rowOff>28575</xdr:rowOff>
                  </from>
                  <to>
                    <xdr:col>11</xdr:col>
                    <xdr:colOff>314325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1" name="Option Button 16">
              <controlPr defaultSize="0" autoFill="0" autoLine="0" autoPict="0">
                <anchor moveWithCells="1">
                  <from>
                    <xdr:col>11</xdr:col>
                    <xdr:colOff>438150</xdr:colOff>
                    <xdr:row>13</xdr:row>
                    <xdr:rowOff>28575</xdr:rowOff>
                  </from>
                  <to>
                    <xdr:col>12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2" name="Option Button 17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8</xdr:row>
                    <xdr:rowOff>19050</xdr:rowOff>
                  </from>
                  <to>
                    <xdr:col>22</xdr:col>
                    <xdr:colOff>161925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3" name="Option Button 18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9</xdr:row>
                    <xdr:rowOff>19050</xdr:rowOff>
                  </from>
                  <to>
                    <xdr:col>22</xdr:col>
                    <xdr:colOff>161925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4" name="Option Button 19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10</xdr:row>
                    <xdr:rowOff>19050</xdr:rowOff>
                  </from>
                  <to>
                    <xdr:col>22</xdr:col>
                    <xdr:colOff>161925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5" name="Option Button 20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11</xdr:row>
                    <xdr:rowOff>28575</xdr:rowOff>
                  </from>
                  <to>
                    <xdr:col>21</xdr:col>
                    <xdr:colOff>533400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6" name="Option Button 21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12</xdr:row>
                    <xdr:rowOff>28575</xdr:rowOff>
                  </from>
                  <to>
                    <xdr:col>22</xdr:col>
                    <xdr:colOff>161925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7" name="Option Button 22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13</xdr:row>
                    <xdr:rowOff>38100</xdr:rowOff>
                  </from>
                  <to>
                    <xdr:col>22</xdr:col>
                    <xdr:colOff>161925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8" name="Option Button 23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14</xdr:row>
                    <xdr:rowOff>28575</xdr:rowOff>
                  </from>
                  <to>
                    <xdr:col>22</xdr:col>
                    <xdr:colOff>161925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9" name="Option Button 24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15</xdr:row>
                    <xdr:rowOff>28575</xdr:rowOff>
                  </from>
                  <to>
                    <xdr:col>22</xdr:col>
                    <xdr:colOff>190500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30" name="Option Button 25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16</xdr:row>
                    <xdr:rowOff>28575</xdr:rowOff>
                  </from>
                  <to>
                    <xdr:col>22</xdr:col>
                    <xdr:colOff>161925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1" name="Option Button 26">
              <controlPr defaultSize="0" autoFill="0" autoLine="0" autoPict="0" altText="">
                <anchor moveWithCells="1">
                  <from>
                    <xdr:col>22</xdr:col>
                    <xdr:colOff>333375</xdr:colOff>
                    <xdr:row>17</xdr:row>
                    <xdr:rowOff>28575</xdr:rowOff>
                  </from>
                  <to>
                    <xdr:col>22</xdr:col>
                    <xdr:colOff>485775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2" name="Group Box 27">
              <controlPr defaultSize="0" print="0" autoFill="0" autoPict="0" altText="">
                <anchor moveWithCells="1">
                  <from>
                    <xdr:col>20</xdr:col>
                    <xdr:colOff>0</xdr:colOff>
                    <xdr:row>7</xdr:row>
                    <xdr:rowOff>0</xdr:rowOff>
                  </from>
                  <to>
                    <xdr:col>23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3" name="Option Button 28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18</xdr:row>
                    <xdr:rowOff>19050</xdr:rowOff>
                  </from>
                  <to>
                    <xdr:col>22</xdr:col>
                    <xdr:colOff>161925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4" name="Option Button 29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19</xdr:row>
                    <xdr:rowOff>19050</xdr:rowOff>
                  </from>
                  <to>
                    <xdr:col>22</xdr:col>
                    <xdr:colOff>161925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5" name="Option Button 30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20</xdr:row>
                    <xdr:rowOff>19050</xdr:rowOff>
                  </from>
                  <to>
                    <xdr:col>22</xdr:col>
                    <xdr:colOff>161925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6" name="Option Button 31">
              <controlPr defaultSize="0" autoFill="0" autoLine="0" autoPict="0" altText="">
                <anchor moveWithCells="1">
                  <from>
                    <xdr:col>20</xdr:col>
                    <xdr:colOff>133350</xdr:colOff>
                    <xdr:row>21</xdr:row>
                    <xdr:rowOff>19050</xdr:rowOff>
                  </from>
                  <to>
                    <xdr:col>22</xdr:col>
                    <xdr:colOff>161925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7" name="Group Box 32">
              <controlPr defaultSize="0" autoFill="0" autoPict="0" altText="">
                <anchor moveWithCells="1">
                  <from>
                    <xdr:col>8</xdr:col>
                    <xdr:colOff>409575</xdr:colOff>
                    <xdr:row>14</xdr:row>
                    <xdr:rowOff>0</xdr:rowOff>
                  </from>
                  <to>
                    <xdr:col>13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8" name="Option Button 33">
              <controlPr defaultSize="0" autoFill="0" autoLine="0" autoPict="0">
                <anchor moveWithCells="1">
                  <from>
                    <xdr:col>10</xdr:col>
                    <xdr:colOff>428625</xdr:colOff>
                    <xdr:row>14</xdr:row>
                    <xdr:rowOff>28575</xdr:rowOff>
                  </from>
                  <to>
                    <xdr:col>11</xdr:col>
                    <xdr:colOff>314325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9" name="Option Button 34">
              <controlPr defaultSize="0" autoFill="0" autoLine="0" autoPict="0">
                <anchor moveWithCells="1">
                  <from>
                    <xdr:col>11</xdr:col>
                    <xdr:colOff>438150</xdr:colOff>
                    <xdr:row>14</xdr:row>
                    <xdr:rowOff>28575</xdr:rowOff>
                  </from>
                  <to>
                    <xdr:col>12</xdr:col>
                    <xdr:colOff>323850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40" name="Option Button 36">
              <controlPr defaultSize="0" autoFill="0" autoLine="0" autoPict="0" altText="">
                <anchor moveWithCells="1">
                  <from>
                    <xdr:col>5</xdr:col>
                    <xdr:colOff>504825</xdr:colOff>
                    <xdr:row>20</xdr:row>
                    <xdr:rowOff>19050</xdr:rowOff>
                  </from>
                  <to>
                    <xdr:col>7</xdr:col>
                    <xdr:colOff>457200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1" name="Option Button 37">
              <controlPr defaultSize="0" autoFill="0" autoLine="0" autoPict="0" altText="">
                <anchor moveWithCells="1">
                  <from>
                    <xdr:col>8</xdr:col>
                    <xdr:colOff>409575</xdr:colOff>
                    <xdr:row>19</xdr:row>
                    <xdr:rowOff>9525</xdr:rowOff>
                  </from>
                  <to>
                    <xdr:col>10</xdr:col>
                    <xdr:colOff>361950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2" name="Option Button 38">
              <controlPr defaultSize="0" autoFill="0" autoLine="0" autoPict="0" altText="">
                <anchor moveWithCells="1">
                  <from>
                    <xdr:col>8</xdr:col>
                    <xdr:colOff>409575</xdr:colOff>
                    <xdr:row>20</xdr:row>
                    <xdr:rowOff>19050</xdr:rowOff>
                  </from>
                  <to>
                    <xdr:col>10</xdr:col>
                    <xdr:colOff>361950</xdr:colOff>
                    <xdr:row>20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workbookViewId="0">
      <selection activeCell="B2" sqref="B2"/>
    </sheetView>
  </sheetViews>
  <sheetFormatPr baseColWidth="10" defaultColWidth="11.42578125" defaultRowHeight="15" customHeight="1" x14ac:dyDescent="0.25"/>
  <cols>
    <col min="1" max="1" width="12.140625" bestFit="1" customWidth="1"/>
    <col min="2" max="3" width="11.42578125" customWidth="1"/>
  </cols>
  <sheetData>
    <row r="2" spans="1:5" x14ac:dyDescent="0.25">
      <c r="A2" t="s">
        <v>1713</v>
      </c>
      <c r="B2" s="108"/>
      <c r="C2" t="s">
        <v>203</v>
      </c>
    </row>
    <row r="3" spans="1:5" x14ac:dyDescent="0.25">
      <c r="A3" t="s">
        <v>1714</v>
      </c>
      <c r="B3">
        <f>E9</f>
        <v>0</v>
      </c>
      <c r="C3" t="s">
        <v>203</v>
      </c>
      <c r="D3">
        <v>138</v>
      </c>
      <c r="E3" t="str">
        <f>'Siding138+200+300+400'!E56</f>
        <v/>
      </c>
    </row>
    <row r="4" spans="1:5" x14ac:dyDescent="0.25">
      <c r="A4" t="s">
        <v>1715</v>
      </c>
      <c r="B4" s="109" t="e">
        <f>100-(B2*100/B3)</f>
        <v>#DIV/0!</v>
      </c>
      <c r="C4" t="s">
        <v>1716</v>
      </c>
      <c r="D4">
        <v>200</v>
      </c>
      <c r="E4" t="str">
        <f>'Siding138+200+300+400'!K56</f>
        <v/>
      </c>
    </row>
    <row r="5" spans="1:5" x14ac:dyDescent="0.25">
      <c r="D5">
        <v>300</v>
      </c>
      <c r="E5" t="str">
        <f>'Siding138+200+300+400'!Q56</f>
        <v/>
      </c>
    </row>
    <row r="6" spans="1:5" x14ac:dyDescent="0.25">
      <c r="D6">
        <v>400</v>
      </c>
      <c r="E6" t="str">
        <f>'Siding138+200+300+400'!W56</f>
        <v/>
      </c>
    </row>
    <row r="7" spans="1:5" x14ac:dyDescent="0.25">
      <c r="D7">
        <v>500</v>
      </c>
      <c r="E7" t="str">
        <f>'Siding500+600'!E56</f>
        <v/>
      </c>
    </row>
    <row r="8" spans="1:5" ht="15" customHeight="1" x14ac:dyDescent="0.25">
      <c r="D8">
        <v>600</v>
      </c>
      <c r="E8" t="str">
        <f>'Siding500+600'!K56</f>
        <v/>
      </c>
    </row>
    <row r="9" spans="1:5" ht="15" customHeight="1" x14ac:dyDescent="0.25">
      <c r="D9" t="s">
        <v>1717</v>
      </c>
      <c r="E9">
        <f>SUM(E3:E8)</f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zoomScale="70" zoomScaleNormal="70" workbookViewId="0">
      <pane ySplit="1" topLeftCell="A89" activePane="bottomLeft" state="frozen"/>
      <selection pane="bottomLeft" activeCell="B117" sqref="B117"/>
    </sheetView>
  </sheetViews>
  <sheetFormatPr baseColWidth="10" defaultColWidth="11.42578125" defaultRowHeight="15" x14ac:dyDescent="0.25"/>
  <cols>
    <col min="1" max="13" width="75.7109375" style="89" customWidth="1"/>
    <col min="14" max="14" width="94.28515625" style="89" bestFit="1" customWidth="1"/>
    <col min="15" max="16384" width="11.42578125" style="89"/>
  </cols>
  <sheetData>
    <row r="1" spans="1:14" s="85" customFormat="1" x14ac:dyDescent="0.25">
      <c r="A1" s="84" t="s">
        <v>226</v>
      </c>
      <c r="B1" s="84" t="s">
        <v>227</v>
      </c>
      <c r="C1" s="84" t="s">
        <v>228</v>
      </c>
      <c r="D1" s="84" t="s">
        <v>229</v>
      </c>
      <c r="E1" s="84" t="s">
        <v>230</v>
      </c>
      <c r="F1" s="84" t="s">
        <v>231</v>
      </c>
      <c r="G1" s="84" t="s">
        <v>232</v>
      </c>
      <c r="H1" s="84" t="s">
        <v>233</v>
      </c>
      <c r="I1" s="84" t="s">
        <v>234</v>
      </c>
      <c r="J1" s="84" t="s">
        <v>235</v>
      </c>
      <c r="K1" s="84" t="s">
        <v>236</v>
      </c>
      <c r="L1" s="84" t="s">
        <v>237</v>
      </c>
      <c r="M1" s="84" t="s">
        <v>238</v>
      </c>
      <c r="N1" s="84" t="s">
        <v>239</v>
      </c>
    </row>
    <row r="2" spans="1:14" ht="15" customHeight="1" x14ac:dyDescent="0.25">
      <c r="A2" s="86" t="s">
        <v>240</v>
      </c>
      <c r="B2" s="86" t="s">
        <v>240</v>
      </c>
      <c r="C2" s="86" t="s">
        <v>241</v>
      </c>
      <c r="D2" s="86" t="s">
        <v>240</v>
      </c>
      <c r="E2" s="86" t="s">
        <v>242</v>
      </c>
      <c r="F2" s="87" t="s">
        <v>243</v>
      </c>
      <c r="G2" s="86" t="s">
        <v>244</v>
      </c>
      <c r="H2" s="86" t="s">
        <v>242</v>
      </c>
      <c r="I2" s="86" t="s">
        <v>245</v>
      </c>
      <c r="J2" s="88"/>
      <c r="K2" s="86" t="s">
        <v>246</v>
      </c>
      <c r="L2" s="86" t="s">
        <v>246</v>
      </c>
      <c r="M2" s="86" t="s">
        <v>246</v>
      </c>
      <c r="N2" s="86" t="s">
        <v>247</v>
      </c>
    </row>
    <row r="3" spans="1:14" x14ac:dyDescent="0.25">
      <c r="A3" s="86" t="s">
        <v>248</v>
      </c>
      <c r="B3" s="86" t="s">
        <v>249</v>
      </c>
      <c r="C3" s="86" t="s">
        <v>250</v>
      </c>
      <c r="D3" s="86" t="s">
        <v>251</v>
      </c>
      <c r="E3" s="86" t="s">
        <v>252</v>
      </c>
      <c r="F3" s="87" t="s">
        <v>253</v>
      </c>
      <c r="G3" s="90" t="s">
        <v>254</v>
      </c>
      <c r="H3" s="86" t="s">
        <v>255</v>
      </c>
      <c r="I3" s="86" t="s">
        <v>256</v>
      </c>
      <c r="J3" s="86" t="s">
        <v>257</v>
      </c>
      <c r="K3" s="86" t="s">
        <v>258</v>
      </c>
      <c r="L3" s="86" t="s">
        <v>258</v>
      </c>
      <c r="M3" s="86" t="s">
        <v>258</v>
      </c>
      <c r="N3" s="86" t="s">
        <v>259</v>
      </c>
    </row>
    <row r="4" spans="1:14" x14ac:dyDescent="0.25">
      <c r="A4" s="86" t="s">
        <v>260</v>
      </c>
      <c r="B4" s="86" t="s">
        <v>261</v>
      </c>
      <c r="C4" s="86" t="s">
        <v>261</v>
      </c>
      <c r="D4" s="86" t="s">
        <v>262</v>
      </c>
      <c r="E4" s="86" t="s">
        <v>263</v>
      </c>
      <c r="F4" s="87" t="s">
        <v>264</v>
      </c>
      <c r="G4" s="90" t="s">
        <v>263</v>
      </c>
      <c r="H4" s="86" t="s">
        <v>265</v>
      </c>
      <c r="I4" s="91" t="s">
        <v>266</v>
      </c>
      <c r="J4" s="86" t="s">
        <v>267</v>
      </c>
      <c r="K4" s="91" t="s">
        <v>263</v>
      </c>
      <c r="L4" s="91" t="s">
        <v>268</v>
      </c>
      <c r="M4" s="91" t="s">
        <v>269</v>
      </c>
      <c r="N4" s="86" t="s">
        <v>263</v>
      </c>
    </row>
    <row r="5" spans="1:14" x14ac:dyDescent="0.25">
      <c r="A5" s="86" t="s">
        <v>270</v>
      </c>
      <c r="B5" s="86" t="s">
        <v>271</v>
      </c>
      <c r="C5" s="86" t="s">
        <v>272</v>
      </c>
      <c r="D5" s="86" t="s">
        <v>273</v>
      </c>
      <c r="E5" s="86" t="s">
        <v>274</v>
      </c>
      <c r="F5" s="87" t="s">
        <v>275</v>
      </c>
      <c r="G5" s="90" t="s">
        <v>276</v>
      </c>
      <c r="H5" s="86" t="s">
        <v>277</v>
      </c>
      <c r="I5" s="86" t="s">
        <v>278</v>
      </c>
      <c r="J5" s="86" t="s">
        <v>279</v>
      </c>
      <c r="K5" s="86" t="s">
        <v>280</v>
      </c>
      <c r="L5" s="86" t="s">
        <v>281</v>
      </c>
      <c r="M5" s="86" t="s">
        <v>280</v>
      </c>
      <c r="N5" s="86" t="s">
        <v>282</v>
      </c>
    </row>
    <row r="6" spans="1:14" x14ac:dyDescent="0.25">
      <c r="A6" s="86" t="s">
        <v>283</v>
      </c>
      <c r="B6" s="86" t="s">
        <v>284</v>
      </c>
      <c r="C6" s="86" t="s">
        <v>285</v>
      </c>
      <c r="D6" s="86" t="s">
        <v>286</v>
      </c>
      <c r="E6" s="86" t="s">
        <v>287</v>
      </c>
      <c r="F6" s="87" t="s">
        <v>288</v>
      </c>
      <c r="G6" s="90" t="s">
        <v>289</v>
      </c>
      <c r="H6" s="86" t="s">
        <v>290</v>
      </c>
      <c r="I6" s="86" t="s">
        <v>291</v>
      </c>
      <c r="J6" s="86" t="s">
        <v>292</v>
      </c>
      <c r="K6" s="86" t="s">
        <v>293</v>
      </c>
      <c r="L6" s="86" t="s">
        <v>294</v>
      </c>
      <c r="M6" s="86" t="s">
        <v>295</v>
      </c>
      <c r="N6" s="86" t="s">
        <v>296</v>
      </c>
    </row>
    <row r="7" spans="1:14" x14ac:dyDescent="0.25">
      <c r="A7" s="86" t="s">
        <v>297</v>
      </c>
      <c r="B7" s="86" t="s">
        <v>298</v>
      </c>
      <c r="C7" s="86" t="s">
        <v>299</v>
      </c>
      <c r="D7" s="86" t="s">
        <v>300</v>
      </c>
      <c r="E7" s="86" t="s">
        <v>301</v>
      </c>
      <c r="F7" s="87" t="s">
        <v>302</v>
      </c>
      <c r="G7" s="90" t="s">
        <v>303</v>
      </c>
      <c r="H7" s="86" t="s">
        <v>304</v>
      </c>
      <c r="I7" s="86" t="s">
        <v>305</v>
      </c>
      <c r="J7" s="86" t="s">
        <v>306</v>
      </c>
      <c r="K7" s="86" t="s">
        <v>307</v>
      </c>
      <c r="L7" s="86" t="s">
        <v>308</v>
      </c>
      <c r="M7" s="86" t="s">
        <v>309</v>
      </c>
      <c r="N7" s="86" t="s">
        <v>310</v>
      </c>
    </row>
    <row r="8" spans="1:14" x14ac:dyDescent="0.25">
      <c r="A8" s="86" t="s">
        <v>311</v>
      </c>
      <c r="B8" s="86" t="s">
        <v>312</v>
      </c>
      <c r="C8" s="86" t="s">
        <v>313</v>
      </c>
      <c r="D8" s="86" t="s">
        <v>314</v>
      </c>
      <c r="E8" s="86" t="s">
        <v>315</v>
      </c>
      <c r="F8" s="87" t="s">
        <v>316</v>
      </c>
      <c r="G8" s="90" t="s">
        <v>317</v>
      </c>
      <c r="H8" s="86" t="s">
        <v>318</v>
      </c>
      <c r="I8" s="86" t="s">
        <v>319</v>
      </c>
      <c r="J8" s="86" t="s">
        <v>320</v>
      </c>
      <c r="K8" s="86" t="s">
        <v>321</v>
      </c>
      <c r="L8" s="86" t="s">
        <v>322</v>
      </c>
      <c r="M8" s="86" t="s">
        <v>323</v>
      </c>
      <c r="N8" s="86" t="s">
        <v>324</v>
      </c>
    </row>
    <row r="9" spans="1:14" x14ac:dyDescent="0.25">
      <c r="A9" s="86" t="s">
        <v>325</v>
      </c>
      <c r="B9" s="86" t="s">
        <v>326</v>
      </c>
      <c r="C9" s="86" t="s">
        <v>327</v>
      </c>
      <c r="D9" s="86" t="s">
        <v>328</v>
      </c>
      <c r="E9" s="86" t="s">
        <v>329</v>
      </c>
      <c r="F9" s="87" t="s">
        <v>330</v>
      </c>
      <c r="G9" s="90" t="s">
        <v>331</v>
      </c>
      <c r="H9" s="86" t="s">
        <v>332</v>
      </c>
      <c r="I9" s="86" t="s">
        <v>333</v>
      </c>
      <c r="J9" s="86" t="s">
        <v>334</v>
      </c>
      <c r="K9" s="86" t="s">
        <v>335</v>
      </c>
      <c r="L9" s="86" t="s">
        <v>336</v>
      </c>
      <c r="M9" s="86" t="s">
        <v>336</v>
      </c>
      <c r="N9" s="86" t="s">
        <v>337</v>
      </c>
    </row>
    <row r="10" spans="1:14" x14ac:dyDescent="0.25">
      <c r="A10" s="86" t="s">
        <v>338</v>
      </c>
      <c r="B10" s="86" t="s">
        <v>339</v>
      </c>
      <c r="C10" s="86" t="s">
        <v>340</v>
      </c>
      <c r="D10" s="86" t="s">
        <v>341</v>
      </c>
      <c r="E10" s="86" t="s">
        <v>342</v>
      </c>
      <c r="F10" s="87" t="s">
        <v>343</v>
      </c>
      <c r="G10" s="86" t="s">
        <v>344</v>
      </c>
      <c r="H10" s="86" t="s">
        <v>345</v>
      </c>
      <c r="I10" s="86" t="s">
        <v>346</v>
      </c>
      <c r="J10" s="88"/>
      <c r="K10" s="86" t="s">
        <v>347</v>
      </c>
      <c r="L10" s="86" t="s">
        <v>348</v>
      </c>
      <c r="M10" s="86" t="s">
        <v>349</v>
      </c>
      <c r="N10" s="86" t="s">
        <v>350</v>
      </c>
    </row>
    <row r="11" spans="1:14" x14ac:dyDescent="0.25">
      <c r="A11" s="86" t="s">
        <v>351</v>
      </c>
      <c r="B11" s="86" t="s">
        <v>352</v>
      </c>
      <c r="C11" s="86" t="s">
        <v>353</v>
      </c>
      <c r="D11" s="86" t="s">
        <v>354</v>
      </c>
      <c r="E11" s="86" t="s">
        <v>355</v>
      </c>
      <c r="F11" s="87" t="s">
        <v>356</v>
      </c>
      <c r="G11" s="90" t="s">
        <v>357</v>
      </c>
      <c r="H11" s="86" t="s">
        <v>358</v>
      </c>
      <c r="I11" s="86" t="s">
        <v>359</v>
      </c>
      <c r="J11" s="86" t="s">
        <v>360</v>
      </c>
      <c r="K11" s="86" t="s">
        <v>361</v>
      </c>
      <c r="L11" s="86" t="s">
        <v>362</v>
      </c>
      <c r="M11" s="86" t="s">
        <v>363</v>
      </c>
      <c r="N11" s="86" t="s">
        <v>364</v>
      </c>
    </row>
    <row r="12" spans="1:14" x14ac:dyDescent="0.25">
      <c r="A12" s="86" t="s">
        <v>365</v>
      </c>
      <c r="B12" s="86" t="s">
        <v>366</v>
      </c>
      <c r="C12" s="86" t="s">
        <v>367</v>
      </c>
      <c r="D12" s="86" t="s">
        <v>368</v>
      </c>
      <c r="E12" s="86" t="s">
        <v>369</v>
      </c>
      <c r="F12" s="87" t="s">
        <v>370</v>
      </c>
      <c r="G12" s="86" t="s">
        <v>371</v>
      </c>
      <c r="H12" s="86" t="s">
        <v>372</v>
      </c>
      <c r="I12" s="86" t="s">
        <v>373</v>
      </c>
      <c r="J12" s="88"/>
      <c r="K12" s="86" t="s">
        <v>374</v>
      </c>
      <c r="L12" s="86" t="s">
        <v>375</v>
      </c>
      <c r="M12" s="86" t="s">
        <v>376</v>
      </c>
      <c r="N12" s="86" t="s">
        <v>377</v>
      </c>
    </row>
    <row r="13" spans="1:14" x14ac:dyDescent="0.25">
      <c r="A13" s="86" t="s">
        <v>378</v>
      </c>
      <c r="B13" s="86" t="s">
        <v>379</v>
      </c>
      <c r="C13" s="86" t="s">
        <v>380</v>
      </c>
      <c r="D13" s="86" t="s">
        <v>380</v>
      </c>
      <c r="E13" s="86" t="s">
        <v>378</v>
      </c>
      <c r="F13" s="87" t="s">
        <v>378</v>
      </c>
      <c r="G13" s="86" t="s">
        <v>378</v>
      </c>
      <c r="H13" s="86" t="s">
        <v>378</v>
      </c>
      <c r="I13" s="86" t="s">
        <v>381</v>
      </c>
      <c r="J13" s="86" t="s">
        <v>378</v>
      </c>
      <c r="K13" s="86" t="s">
        <v>381</v>
      </c>
      <c r="L13" s="86" t="s">
        <v>381</v>
      </c>
      <c r="M13" s="86" t="s">
        <v>381</v>
      </c>
      <c r="N13" s="86" t="s">
        <v>378</v>
      </c>
    </row>
    <row r="14" spans="1:14" x14ac:dyDescent="0.25">
      <c r="A14" s="86" t="s">
        <v>382</v>
      </c>
      <c r="B14" s="86" t="s">
        <v>383</v>
      </c>
      <c r="C14" s="86" t="s">
        <v>383</v>
      </c>
      <c r="D14" s="86" t="s">
        <v>383</v>
      </c>
      <c r="E14" s="86" t="s">
        <v>382</v>
      </c>
      <c r="F14" s="87" t="s">
        <v>382</v>
      </c>
      <c r="G14" s="86" t="s">
        <v>382</v>
      </c>
      <c r="H14" s="86" t="s">
        <v>382</v>
      </c>
      <c r="I14" s="86" t="s">
        <v>384</v>
      </c>
      <c r="J14" s="86" t="s">
        <v>382</v>
      </c>
      <c r="K14" s="86" t="s">
        <v>385</v>
      </c>
      <c r="L14" s="86" t="s">
        <v>385</v>
      </c>
      <c r="M14" s="86" t="s">
        <v>385</v>
      </c>
      <c r="N14" s="86" t="s">
        <v>382</v>
      </c>
    </row>
    <row r="15" spans="1:14" x14ac:dyDescent="0.25">
      <c r="A15" s="86" t="s">
        <v>386</v>
      </c>
      <c r="B15" s="86" t="s">
        <v>387</v>
      </c>
      <c r="C15" s="86" t="s">
        <v>388</v>
      </c>
      <c r="D15" s="86" t="s">
        <v>389</v>
      </c>
      <c r="E15" s="86" t="s">
        <v>390</v>
      </c>
      <c r="F15" s="87" t="s">
        <v>391</v>
      </c>
      <c r="G15" s="86" t="s">
        <v>392</v>
      </c>
      <c r="H15" s="86" t="s">
        <v>393</v>
      </c>
      <c r="I15" s="86" t="s">
        <v>394</v>
      </c>
      <c r="J15" s="88"/>
      <c r="K15" s="86" t="s">
        <v>395</v>
      </c>
      <c r="L15" s="86" t="s">
        <v>396</v>
      </c>
      <c r="M15" s="86" t="s">
        <v>397</v>
      </c>
      <c r="N15" s="86" t="s">
        <v>398</v>
      </c>
    </row>
    <row r="16" spans="1:14" x14ac:dyDescent="0.25">
      <c r="A16" s="86" t="s">
        <v>399</v>
      </c>
      <c r="B16" s="86" t="s">
        <v>400</v>
      </c>
      <c r="C16" s="86" t="s">
        <v>401</v>
      </c>
      <c r="D16" s="86" t="s">
        <v>402</v>
      </c>
      <c r="E16" s="86" t="s">
        <v>403</v>
      </c>
      <c r="F16" s="87" t="s">
        <v>404</v>
      </c>
      <c r="G16" s="86" t="s">
        <v>405</v>
      </c>
      <c r="H16" s="86" t="s">
        <v>406</v>
      </c>
      <c r="I16" s="86" t="s">
        <v>407</v>
      </c>
      <c r="J16" s="88"/>
      <c r="K16" s="86" t="s">
        <v>408</v>
      </c>
      <c r="L16" s="86" t="s">
        <v>409</v>
      </c>
      <c r="M16" s="86" t="s">
        <v>410</v>
      </c>
      <c r="N16" s="86" t="s">
        <v>411</v>
      </c>
    </row>
    <row r="17" spans="1:14" x14ac:dyDescent="0.25">
      <c r="A17" s="86" t="s">
        <v>412</v>
      </c>
      <c r="B17" s="86" t="s">
        <v>413</v>
      </c>
      <c r="C17" s="86" t="s">
        <v>413</v>
      </c>
      <c r="D17" s="86" t="s">
        <v>413</v>
      </c>
      <c r="E17" s="86" t="s">
        <v>412</v>
      </c>
      <c r="F17" s="87" t="s">
        <v>412</v>
      </c>
      <c r="G17" s="86" t="s">
        <v>412</v>
      </c>
      <c r="H17" s="86" t="s">
        <v>412</v>
      </c>
      <c r="I17" s="86" t="s">
        <v>414</v>
      </c>
      <c r="J17" s="86" t="s">
        <v>412</v>
      </c>
      <c r="K17" s="86" t="s">
        <v>414</v>
      </c>
      <c r="L17" s="86" t="s">
        <v>414</v>
      </c>
      <c r="M17" s="86" t="s">
        <v>414</v>
      </c>
      <c r="N17" s="86" t="s">
        <v>412</v>
      </c>
    </row>
    <row r="18" spans="1:14" x14ac:dyDescent="0.25">
      <c r="A18" s="86" t="s">
        <v>415</v>
      </c>
      <c r="B18" s="86" t="s">
        <v>416</v>
      </c>
      <c r="C18" s="86" t="s">
        <v>416</v>
      </c>
      <c r="D18" s="86" t="s">
        <v>416</v>
      </c>
      <c r="E18" s="86" t="s">
        <v>415</v>
      </c>
      <c r="F18" s="87" t="s">
        <v>415</v>
      </c>
      <c r="G18" s="86" t="s">
        <v>415</v>
      </c>
      <c r="H18" s="86" t="s">
        <v>415</v>
      </c>
      <c r="I18" s="86" t="s">
        <v>417</v>
      </c>
      <c r="J18" s="86" t="s">
        <v>415</v>
      </c>
      <c r="K18" s="86" t="s">
        <v>417</v>
      </c>
      <c r="L18" s="86" t="s">
        <v>418</v>
      </c>
      <c r="M18" s="86" t="s">
        <v>418</v>
      </c>
      <c r="N18" s="86" t="s">
        <v>415</v>
      </c>
    </row>
    <row r="19" spans="1:14" x14ac:dyDescent="0.25">
      <c r="A19" s="86" t="s">
        <v>419</v>
      </c>
      <c r="B19" s="86" t="s">
        <v>420</v>
      </c>
      <c r="C19" s="86" t="s">
        <v>421</v>
      </c>
      <c r="D19" s="86" t="s">
        <v>422</v>
      </c>
      <c r="E19" s="86" t="s">
        <v>423</v>
      </c>
      <c r="F19" s="87" t="s">
        <v>424</v>
      </c>
      <c r="G19" s="86" t="s">
        <v>425</v>
      </c>
      <c r="H19" s="86" t="s">
        <v>426</v>
      </c>
      <c r="I19" s="86" t="s">
        <v>427</v>
      </c>
      <c r="J19" s="88"/>
      <c r="K19" s="86" t="s">
        <v>428</v>
      </c>
      <c r="L19" s="86" t="s">
        <v>429</v>
      </c>
      <c r="M19" s="86" t="s">
        <v>429</v>
      </c>
      <c r="N19" s="86" t="s">
        <v>430</v>
      </c>
    </row>
    <row r="20" spans="1:14" x14ac:dyDescent="0.25">
      <c r="A20" s="86" t="s">
        <v>431</v>
      </c>
      <c r="B20" s="86" t="s">
        <v>432</v>
      </c>
      <c r="C20" s="86" t="s">
        <v>433</v>
      </c>
      <c r="D20" s="86" t="s">
        <v>434</v>
      </c>
      <c r="E20" s="86" t="s">
        <v>435</v>
      </c>
      <c r="F20" s="87" t="s">
        <v>436</v>
      </c>
      <c r="G20" s="86" t="s">
        <v>437</v>
      </c>
      <c r="H20" s="86" t="s">
        <v>438</v>
      </c>
      <c r="I20" s="86" t="s">
        <v>439</v>
      </c>
      <c r="J20" s="88"/>
      <c r="K20" s="86" t="s">
        <v>440</v>
      </c>
      <c r="L20" s="86" t="s">
        <v>441</v>
      </c>
      <c r="M20" s="86" t="s">
        <v>440</v>
      </c>
      <c r="N20" s="86" t="s">
        <v>442</v>
      </c>
    </row>
    <row r="21" spans="1:14" x14ac:dyDescent="0.25">
      <c r="A21" s="86" t="s">
        <v>443</v>
      </c>
      <c r="B21" s="86" t="s">
        <v>444</v>
      </c>
      <c r="C21" s="86" t="s">
        <v>445</v>
      </c>
      <c r="D21" s="86" t="s">
        <v>446</v>
      </c>
      <c r="E21" s="86" t="s">
        <v>447</v>
      </c>
      <c r="F21" s="87" t="s">
        <v>448</v>
      </c>
      <c r="G21" s="86" t="s">
        <v>449</v>
      </c>
      <c r="H21" s="86" t="s">
        <v>450</v>
      </c>
      <c r="I21" s="86" t="s">
        <v>451</v>
      </c>
      <c r="J21" s="88"/>
      <c r="K21" s="86" t="s">
        <v>452</v>
      </c>
      <c r="L21" s="86" t="s">
        <v>452</v>
      </c>
      <c r="M21" s="86" t="s">
        <v>453</v>
      </c>
      <c r="N21" s="86" t="s">
        <v>443</v>
      </c>
    </row>
    <row r="22" spans="1:14" x14ac:dyDescent="0.25">
      <c r="A22" s="86" t="s">
        <v>454</v>
      </c>
      <c r="B22" s="86" t="s">
        <v>455</v>
      </c>
      <c r="C22" s="86" t="s">
        <v>456</v>
      </c>
      <c r="D22" s="86" t="s">
        <v>457</v>
      </c>
      <c r="E22" s="86" t="s">
        <v>458</v>
      </c>
      <c r="F22" s="87" t="s">
        <v>459</v>
      </c>
      <c r="G22" s="86" t="s">
        <v>460</v>
      </c>
      <c r="H22" s="86" t="s">
        <v>461</v>
      </c>
      <c r="I22" s="86" t="s">
        <v>462</v>
      </c>
      <c r="J22" s="88"/>
      <c r="K22" s="86" t="s">
        <v>463</v>
      </c>
      <c r="L22" s="86" t="s">
        <v>464</v>
      </c>
      <c r="M22" s="86" t="s">
        <v>465</v>
      </c>
      <c r="N22" s="86" t="s">
        <v>466</v>
      </c>
    </row>
    <row r="23" spans="1:14" x14ac:dyDescent="0.25">
      <c r="A23" s="86" t="s">
        <v>467</v>
      </c>
      <c r="B23" s="86" t="s">
        <v>468</v>
      </c>
      <c r="C23" s="86" t="s">
        <v>468</v>
      </c>
      <c r="D23" s="86" t="s">
        <v>468</v>
      </c>
      <c r="E23" s="86" t="s">
        <v>467</v>
      </c>
      <c r="F23" s="87" t="s">
        <v>467</v>
      </c>
      <c r="G23" s="86" t="s">
        <v>467</v>
      </c>
      <c r="H23" s="86" t="s">
        <v>467</v>
      </c>
      <c r="I23" s="86" t="s">
        <v>469</v>
      </c>
      <c r="J23" s="86" t="s">
        <v>467</v>
      </c>
      <c r="K23" s="86" t="s">
        <v>469</v>
      </c>
      <c r="L23" s="86" t="s">
        <v>469</v>
      </c>
      <c r="M23" s="86" t="s">
        <v>469</v>
      </c>
      <c r="N23" s="86" t="s">
        <v>467</v>
      </c>
    </row>
    <row r="24" spans="1:14" x14ac:dyDescent="0.25">
      <c r="A24" s="86" t="s">
        <v>470</v>
      </c>
      <c r="B24" s="86" t="s">
        <v>471</v>
      </c>
      <c r="C24" s="86" t="s">
        <v>471</v>
      </c>
      <c r="D24" s="86" t="s">
        <v>471</v>
      </c>
      <c r="E24" s="86" t="s">
        <v>470</v>
      </c>
      <c r="F24" s="87" t="s">
        <v>470</v>
      </c>
      <c r="G24" s="86" t="s">
        <v>470</v>
      </c>
      <c r="H24" s="86" t="s">
        <v>470</v>
      </c>
      <c r="I24" s="86" t="s">
        <v>472</v>
      </c>
      <c r="J24" s="86" t="s">
        <v>470</v>
      </c>
      <c r="K24" s="86" t="s">
        <v>472</v>
      </c>
      <c r="L24" s="86" t="s">
        <v>472</v>
      </c>
      <c r="M24" s="86" t="s">
        <v>472</v>
      </c>
      <c r="N24" s="86" t="s">
        <v>470</v>
      </c>
    </row>
    <row r="25" spans="1:14" x14ac:dyDescent="0.25">
      <c r="A25" s="86" t="s">
        <v>473</v>
      </c>
      <c r="B25" s="86" t="s">
        <v>474</v>
      </c>
      <c r="C25" s="86" t="s">
        <v>474</v>
      </c>
      <c r="D25" s="86" t="s">
        <v>474</v>
      </c>
      <c r="E25" s="86" t="s">
        <v>473</v>
      </c>
      <c r="F25" s="87" t="s">
        <v>473</v>
      </c>
      <c r="G25" s="86" t="s">
        <v>473</v>
      </c>
      <c r="H25" s="86" t="s">
        <v>473</v>
      </c>
      <c r="I25" s="86" t="s">
        <v>475</v>
      </c>
      <c r="J25" s="86" t="s">
        <v>473</v>
      </c>
      <c r="K25" s="86" t="s">
        <v>475</v>
      </c>
      <c r="L25" s="86" t="s">
        <v>476</v>
      </c>
      <c r="M25" s="86" t="s">
        <v>476</v>
      </c>
      <c r="N25" s="86" t="s">
        <v>473</v>
      </c>
    </row>
    <row r="26" spans="1:14" x14ac:dyDescent="0.25">
      <c r="A26" s="86" t="s">
        <v>477</v>
      </c>
      <c r="B26" s="88" t="s">
        <v>477</v>
      </c>
      <c r="C26" s="86" t="s">
        <v>478</v>
      </c>
      <c r="D26" s="88" t="s">
        <v>477</v>
      </c>
      <c r="E26" s="88" t="s">
        <v>477</v>
      </c>
      <c r="F26" s="88" t="s">
        <v>477</v>
      </c>
      <c r="G26" s="88" t="s">
        <v>477</v>
      </c>
      <c r="H26" s="88" t="s">
        <v>477</v>
      </c>
      <c r="I26" s="88" t="s">
        <v>477</v>
      </c>
      <c r="J26" s="88" t="s">
        <v>477</v>
      </c>
      <c r="K26" s="88" t="s">
        <v>477</v>
      </c>
      <c r="L26" s="88" t="s">
        <v>477</v>
      </c>
      <c r="M26" s="88" t="s">
        <v>477</v>
      </c>
      <c r="N26" s="88" t="s">
        <v>477</v>
      </c>
    </row>
    <row r="27" spans="1:14" x14ac:dyDescent="0.25">
      <c r="A27" s="86" t="s">
        <v>479</v>
      </c>
      <c r="B27" s="86" t="s">
        <v>480</v>
      </c>
      <c r="C27" s="86" t="s">
        <v>480</v>
      </c>
      <c r="D27" s="86" t="s">
        <v>480</v>
      </c>
      <c r="E27" s="86" t="s">
        <v>479</v>
      </c>
      <c r="F27" s="87" t="s">
        <v>479</v>
      </c>
      <c r="G27" s="86" t="s">
        <v>479</v>
      </c>
      <c r="H27" s="86" t="s">
        <v>479</v>
      </c>
      <c r="I27" s="86" t="s">
        <v>481</v>
      </c>
      <c r="J27" s="86" t="s">
        <v>479</v>
      </c>
      <c r="K27" s="86" t="s">
        <v>481</v>
      </c>
      <c r="L27" s="86" t="s">
        <v>481</v>
      </c>
      <c r="M27" s="86" t="s">
        <v>481</v>
      </c>
      <c r="N27" s="86" t="s">
        <v>479</v>
      </c>
    </row>
    <row r="28" spans="1:14" x14ac:dyDescent="0.25">
      <c r="A28" s="86" t="s">
        <v>482</v>
      </c>
      <c r="B28" s="86" t="s">
        <v>483</v>
      </c>
      <c r="C28" s="86" t="s">
        <v>483</v>
      </c>
      <c r="D28" s="86" t="s">
        <v>483</v>
      </c>
      <c r="E28" s="86" t="s">
        <v>482</v>
      </c>
      <c r="F28" s="87" t="s">
        <v>482</v>
      </c>
      <c r="G28" s="86" t="s">
        <v>482</v>
      </c>
      <c r="H28" s="86" t="s">
        <v>482</v>
      </c>
      <c r="I28" s="86" t="s">
        <v>484</v>
      </c>
      <c r="J28" s="86" t="s">
        <v>482</v>
      </c>
      <c r="K28" s="86" t="s">
        <v>484</v>
      </c>
      <c r="L28" s="86" t="s">
        <v>484</v>
      </c>
      <c r="M28" s="86" t="s">
        <v>484</v>
      </c>
      <c r="N28" s="86" t="s">
        <v>482</v>
      </c>
    </row>
    <row r="29" spans="1:14" x14ac:dyDescent="0.25">
      <c r="A29" s="86" t="s">
        <v>485</v>
      </c>
      <c r="B29" s="86" t="s">
        <v>486</v>
      </c>
      <c r="C29" s="86" t="s">
        <v>486</v>
      </c>
      <c r="D29" s="86" t="s">
        <v>486</v>
      </c>
      <c r="E29" s="86" t="s">
        <v>485</v>
      </c>
      <c r="F29" s="87" t="s">
        <v>485</v>
      </c>
      <c r="G29" s="86" t="s">
        <v>485</v>
      </c>
      <c r="H29" s="86" t="s">
        <v>485</v>
      </c>
      <c r="I29" s="86" t="s">
        <v>487</v>
      </c>
      <c r="J29" s="86" t="s">
        <v>485</v>
      </c>
      <c r="K29" s="86" t="s">
        <v>488</v>
      </c>
      <c r="L29" s="86" t="s">
        <v>488</v>
      </c>
      <c r="M29" s="86" t="s">
        <v>488</v>
      </c>
      <c r="N29" s="86" t="s">
        <v>485</v>
      </c>
    </row>
    <row r="30" spans="1:14" x14ac:dyDescent="0.25">
      <c r="A30" s="86" t="s">
        <v>489</v>
      </c>
      <c r="B30" s="86" t="s">
        <v>490</v>
      </c>
      <c r="C30" s="86" t="s">
        <v>491</v>
      </c>
      <c r="D30" s="86" t="s">
        <v>492</v>
      </c>
      <c r="E30" s="86" t="s">
        <v>493</v>
      </c>
      <c r="F30" s="87" t="s">
        <v>494</v>
      </c>
      <c r="G30" s="86" t="s">
        <v>495</v>
      </c>
      <c r="H30" s="86" t="s">
        <v>496</v>
      </c>
      <c r="I30" s="86" t="s">
        <v>497</v>
      </c>
      <c r="J30" s="88"/>
      <c r="K30" s="86" t="s">
        <v>498</v>
      </c>
      <c r="L30" s="86" t="s">
        <v>499</v>
      </c>
      <c r="M30" s="86" t="s">
        <v>499</v>
      </c>
      <c r="N30" s="86" t="s">
        <v>500</v>
      </c>
    </row>
    <row r="31" spans="1:14" x14ac:dyDescent="0.25">
      <c r="A31" s="86" t="s">
        <v>501</v>
      </c>
      <c r="B31" s="86" t="s">
        <v>502</v>
      </c>
      <c r="C31" s="86" t="s">
        <v>503</v>
      </c>
      <c r="D31" s="86" t="s">
        <v>504</v>
      </c>
      <c r="E31" s="86" t="s">
        <v>505</v>
      </c>
      <c r="F31" s="87" t="s">
        <v>506</v>
      </c>
      <c r="G31" s="86" t="s">
        <v>507</v>
      </c>
      <c r="H31" s="86" t="s">
        <v>508</v>
      </c>
      <c r="I31" s="86" t="s">
        <v>509</v>
      </c>
      <c r="J31" s="88"/>
      <c r="K31" s="86" t="s">
        <v>510</v>
      </c>
      <c r="L31" s="86" t="s">
        <v>510</v>
      </c>
      <c r="M31" s="86" t="s">
        <v>510</v>
      </c>
      <c r="N31" s="86" t="s">
        <v>511</v>
      </c>
    </row>
    <row r="32" spans="1:14" x14ac:dyDescent="0.25">
      <c r="A32" s="86" t="s">
        <v>512</v>
      </c>
      <c r="B32" s="86" t="s">
        <v>513</v>
      </c>
      <c r="C32" s="86" t="s">
        <v>514</v>
      </c>
      <c r="D32" s="86" t="s">
        <v>515</v>
      </c>
      <c r="E32" s="86" t="s">
        <v>516</v>
      </c>
      <c r="F32" s="87" t="s">
        <v>517</v>
      </c>
      <c r="G32" s="90" t="s">
        <v>518</v>
      </c>
      <c r="H32" s="86" t="s">
        <v>519</v>
      </c>
      <c r="I32" s="86" t="s">
        <v>520</v>
      </c>
      <c r="J32" s="86" t="s">
        <v>521</v>
      </c>
      <c r="K32" s="86" t="s">
        <v>522</v>
      </c>
      <c r="L32" s="86" t="s">
        <v>522</v>
      </c>
      <c r="M32" s="86" t="s">
        <v>523</v>
      </c>
      <c r="N32" s="86" t="s">
        <v>524</v>
      </c>
    </row>
    <row r="33" spans="1:14" x14ac:dyDescent="0.25">
      <c r="A33" s="86" t="s">
        <v>525</v>
      </c>
      <c r="B33" s="86" t="s">
        <v>525</v>
      </c>
      <c r="C33" s="86" t="s">
        <v>525</v>
      </c>
      <c r="D33" s="86" t="s">
        <v>526</v>
      </c>
      <c r="E33" s="86" t="s">
        <v>527</v>
      </c>
      <c r="F33" s="87" t="s">
        <v>528</v>
      </c>
      <c r="G33" s="86" t="s">
        <v>529</v>
      </c>
      <c r="H33" s="86" t="s">
        <v>527</v>
      </c>
      <c r="I33" s="86" t="s">
        <v>530</v>
      </c>
      <c r="J33" s="88"/>
      <c r="K33" s="86" t="s">
        <v>530</v>
      </c>
      <c r="L33" s="86" t="s">
        <v>531</v>
      </c>
      <c r="M33" s="86" t="s">
        <v>532</v>
      </c>
      <c r="N33" s="86" t="s">
        <v>533</v>
      </c>
    </row>
    <row r="34" spans="1:14" x14ac:dyDescent="0.25">
      <c r="A34" s="86" t="s">
        <v>534</v>
      </c>
      <c r="B34" s="86" t="s">
        <v>535</v>
      </c>
      <c r="C34" s="86" t="s">
        <v>536</v>
      </c>
      <c r="D34" s="86" t="s">
        <v>537</v>
      </c>
      <c r="E34" s="86" t="s">
        <v>538</v>
      </c>
      <c r="F34" s="87" t="s">
        <v>539</v>
      </c>
      <c r="G34" s="86" t="s">
        <v>540</v>
      </c>
      <c r="H34" s="86" t="s">
        <v>538</v>
      </c>
      <c r="I34" s="86" t="s">
        <v>541</v>
      </c>
      <c r="J34" s="88"/>
      <c r="K34" s="86" t="s">
        <v>542</v>
      </c>
      <c r="L34" s="86" t="s">
        <v>543</v>
      </c>
      <c r="M34" s="86" t="s">
        <v>542</v>
      </c>
      <c r="N34" s="86" t="s">
        <v>544</v>
      </c>
    </row>
    <row r="35" spans="1:14" x14ac:dyDescent="0.25">
      <c r="A35" s="86" t="s">
        <v>545</v>
      </c>
      <c r="B35" s="86" t="s">
        <v>546</v>
      </c>
      <c r="C35" s="86" t="s">
        <v>547</v>
      </c>
      <c r="D35" s="86" t="s">
        <v>548</v>
      </c>
      <c r="E35" s="86" t="s">
        <v>549</v>
      </c>
      <c r="F35" s="87" t="s">
        <v>550</v>
      </c>
      <c r="G35" s="90" t="s">
        <v>551</v>
      </c>
      <c r="H35" s="86" t="s">
        <v>549</v>
      </c>
      <c r="I35" s="86" t="s">
        <v>552</v>
      </c>
      <c r="J35" s="86" t="s">
        <v>553</v>
      </c>
      <c r="K35" s="86" t="s">
        <v>554</v>
      </c>
      <c r="L35" s="86" t="s">
        <v>555</v>
      </c>
      <c r="M35" s="86" t="s">
        <v>556</v>
      </c>
      <c r="N35" s="86" t="s">
        <v>557</v>
      </c>
    </row>
    <row r="36" spans="1:14" x14ac:dyDescent="0.25">
      <c r="A36" s="86" t="s">
        <v>558</v>
      </c>
      <c r="B36" s="86" t="s">
        <v>559</v>
      </c>
      <c r="C36" s="86" t="s">
        <v>560</v>
      </c>
      <c r="D36" s="86" t="s">
        <v>561</v>
      </c>
      <c r="E36" s="86" t="s">
        <v>562</v>
      </c>
      <c r="F36" s="87" t="s">
        <v>562</v>
      </c>
      <c r="G36" s="90" t="s">
        <v>563</v>
      </c>
      <c r="H36" s="86" t="s">
        <v>562</v>
      </c>
      <c r="I36" s="86" t="s">
        <v>564</v>
      </c>
      <c r="J36" s="86" t="s">
        <v>565</v>
      </c>
      <c r="K36" s="86" t="s">
        <v>566</v>
      </c>
      <c r="L36" s="86" t="s">
        <v>566</v>
      </c>
      <c r="M36" s="86" t="s">
        <v>566</v>
      </c>
      <c r="N36" s="86" t="s">
        <v>567</v>
      </c>
    </row>
    <row r="37" spans="1:14" x14ac:dyDescent="0.25">
      <c r="A37" s="92" t="s">
        <v>568</v>
      </c>
      <c r="B37" s="93" t="s">
        <v>569</v>
      </c>
      <c r="C37" s="93" t="s">
        <v>570</v>
      </c>
      <c r="D37" s="92" t="s">
        <v>571</v>
      </c>
      <c r="E37" s="92" t="s">
        <v>572</v>
      </c>
      <c r="F37" s="87" t="s">
        <v>573</v>
      </c>
      <c r="G37" s="94" t="s">
        <v>574</v>
      </c>
      <c r="H37" s="86" t="s">
        <v>575</v>
      </c>
      <c r="I37" s="92" t="s">
        <v>576</v>
      </c>
      <c r="J37" s="94" t="s">
        <v>577</v>
      </c>
      <c r="K37" s="92" t="s">
        <v>578</v>
      </c>
      <c r="L37" s="92" t="s">
        <v>579</v>
      </c>
      <c r="M37" s="92" t="s">
        <v>580</v>
      </c>
      <c r="N37" s="86" t="s">
        <v>581</v>
      </c>
    </row>
    <row r="38" spans="1:14" x14ac:dyDescent="0.25">
      <c r="A38" t="s">
        <v>582</v>
      </c>
      <c r="B38" s="86" t="s">
        <v>583</v>
      </c>
      <c r="C38" s="86" t="s">
        <v>584</v>
      </c>
      <c r="D38" s="86" t="s">
        <v>585</v>
      </c>
      <c r="E38" s="86" t="s">
        <v>586</v>
      </c>
      <c r="F38" s="87" t="s">
        <v>587</v>
      </c>
      <c r="G38" s="86" t="s">
        <v>588</v>
      </c>
      <c r="H38" s="86" t="s">
        <v>589</v>
      </c>
      <c r="I38" s="86" t="s">
        <v>590</v>
      </c>
      <c r="J38" s="86" t="s">
        <v>591</v>
      </c>
      <c r="K38" s="86" t="s">
        <v>592</v>
      </c>
      <c r="L38" s="86" t="s">
        <v>590</v>
      </c>
      <c r="M38" s="86" t="s">
        <v>593</v>
      </c>
      <c r="N38" s="86" t="s">
        <v>594</v>
      </c>
    </row>
    <row r="39" spans="1:14" x14ac:dyDescent="0.25">
      <c r="A39" s="86" t="s">
        <v>595</v>
      </c>
      <c r="B39" s="86" t="s">
        <v>596</v>
      </c>
      <c r="C39" s="86" t="s">
        <v>597</v>
      </c>
      <c r="D39" s="88" t="s">
        <v>595</v>
      </c>
      <c r="E39" s="86" t="s">
        <v>598</v>
      </c>
      <c r="F39" s="87" t="s">
        <v>599</v>
      </c>
      <c r="G39" s="86" t="s">
        <v>600</v>
      </c>
      <c r="H39" s="86" t="s">
        <v>601</v>
      </c>
      <c r="I39" s="86" t="s">
        <v>602</v>
      </c>
      <c r="J39" s="88"/>
      <c r="K39" s="86" t="s">
        <v>603</v>
      </c>
      <c r="L39" s="86" t="s">
        <v>604</v>
      </c>
      <c r="M39" s="86" t="s">
        <v>605</v>
      </c>
      <c r="N39" s="86" t="s">
        <v>606</v>
      </c>
    </row>
    <row r="40" spans="1:14" x14ac:dyDescent="0.25">
      <c r="A40" s="86" t="s">
        <v>607</v>
      </c>
      <c r="B40" s="86" t="s">
        <v>608</v>
      </c>
      <c r="C40" s="86" t="s">
        <v>609</v>
      </c>
      <c r="D40" s="86" t="s">
        <v>610</v>
      </c>
      <c r="E40" s="86" t="s">
        <v>611</v>
      </c>
      <c r="F40" s="87" t="s">
        <v>612</v>
      </c>
      <c r="G40" s="90" t="s">
        <v>613</v>
      </c>
      <c r="H40" s="86" t="s">
        <v>611</v>
      </c>
      <c r="I40" s="86" t="s">
        <v>614</v>
      </c>
      <c r="J40" s="88"/>
      <c r="K40" s="86" t="s">
        <v>615</v>
      </c>
      <c r="L40" s="86" t="s">
        <v>616</v>
      </c>
      <c r="M40" s="86" t="s">
        <v>617</v>
      </c>
      <c r="N40" s="86" t="s">
        <v>618</v>
      </c>
    </row>
    <row r="41" spans="1:14" x14ac:dyDescent="0.25">
      <c r="A41" s="86" t="s">
        <v>619</v>
      </c>
      <c r="B41" s="86" t="s">
        <v>620</v>
      </c>
      <c r="C41" s="86" t="s">
        <v>621</v>
      </c>
      <c r="D41" s="86" t="s">
        <v>622</v>
      </c>
      <c r="E41" s="86" t="s">
        <v>623</v>
      </c>
      <c r="F41" s="95" t="s">
        <v>624</v>
      </c>
      <c r="G41" s="86" t="s">
        <v>625</v>
      </c>
      <c r="H41" s="86" t="s">
        <v>626</v>
      </c>
      <c r="I41" s="86" t="s">
        <v>627</v>
      </c>
      <c r="J41" s="88"/>
      <c r="K41" s="86" t="s">
        <v>628</v>
      </c>
      <c r="L41" s="86" t="s">
        <v>629</v>
      </c>
      <c r="M41" s="86" t="s">
        <v>630</v>
      </c>
      <c r="N41" s="86" t="s">
        <v>631</v>
      </c>
    </row>
    <row r="42" spans="1:14" x14ac:dyDescent="0.25">
      <c r="A42" s="86" t="s">
        <v>632</v>
      </c>
      <c r="B42" s="86" t="s">
        <v>633</v>
      </c>
      <c r="C42" s="86" t="s">
        <v>634</v>
      </c>
      <c r="D42" s="86" t="s">
        <v>635</v>
      </c>
      <c r="E42" s="86" t="s">
        <v>636</v>
      </c>
      <c r="F42" s="95" t="s">
        <v>637</v>
      </c>
      <c r="G42" s="86" t="s">
        <v>638</v>
      </c>
      <c r="H42" s="86" t="s">
        <v>639</v>
      </c>
      <c r="I42" s="86" t="s">
        <v>640</v>
      </c>
      <c r="J42" s="88"/>
      <c r="K42" s="86" t="s">
        <v>641</v>
      </c>
      <c r="L42" s="86" t="s">
        <v>642</v>
      </c>
      <c r="M42" s="91" t="s">
        <v>643</v>
      </c>
      <c r="N42" s="86" t="s">
        <v>644</v>
      </c>
    </row>
    <row r="43" spans="1:14" x14ac:dyDescent="0.25">
      <c r="A43" s="94" t="s">
        <v>645</v>
      </c>
      <c r="B43" s="96" t="s">
        <v>646</v>
      </c>
      <c r="C43" s="96" t="s">
        <v>647</v>
      </c>
      <c r="D43" s="94" t="s">
        <v>648</v>
      </c>
      <c r="E43" s="94" t="s">
        <v>649</v>
      </c>
      <c r="F43" s="87" t="s">
        <v>650</v>
      </c>
      <c r="G43" s="96" t="s">
        <v>651</v>
      </c>
      <c r="H43" s="86" t="s">
        <v>649</v>
      </c>
      <c r="I43" s="94" t="s">
        <v>652</v>
      </c>
      <c r="J43" s="86" t="s">
        <v>653</v>
      </c>
      <c r="K43" s="94" t="s">
        <v>654</v>
      </c>
      <c r="L43" s="94" t="s">
        <v>655</v>
      </c>
      <c r="M43" s="94" t="s">
        <v>655</v>
      </c>
      <c r="N43" s="86" t="s">
        <v>656</v>
      </c>
    </row>
    <row r="44" spans="1:14" x14ac:dyDescent="0.25">
      <c r="A44" s="86" t="s">
        <v>657</v>
      </c>
      <c r="B44" s="86" t="s">
        <v>658</v>
      </c>
      <c r="C44" s="86" t="s">
        <v>659</v>
      </c>
      <c r="D44" s="86" t="s">
        <v>660</v>
      </c>
      <c r="E44" s="86" t="s">
        <v>661</v>
      </c>
      <c r="F44" s="87" t="s">
        <v>662</v>
      </c>
      <c r="G44" s="90" t="s">
        <v>663</v>
      </c>
      <c r="H44" s="86" t="s">
        <v>664</v>
      </c>
      <c r="I44" s="86" t="s">
        <v>665</v>
      </c>
      <c r="J44" s="86" t="s">
        <v>666</v>
      </c>
      <c r="K44" s="86" t="s">
        <v>667</v>
      </c>
      <c r="L44" s="86" t="s">
        <v>668</v>
      </c>
      <c r="M44" s="86" t="s">
        <v>668</v>
      </c>
      <c r="N44" s="86" t="s">
        <v>669</v>
      </c>
    </row>
    <row r="45" spans="1:14" x14ac:dyDescent="0.25">
      <c r="A45" s="86" t="s">
        <v>670</v>
      </c>
      <c r="B45" s="86" t="s">
        <v>671</v>
      </c>
      <c r="C45" s="86" t="s">
        <v>672</v>
      </c>
      <c r="D45" s="86" t="s">
        <v>673</v>
      </c>
      <c r="E45" s="86" t="s">
        <v>674</v>
      </c>
      <c r="F45" s="87" t="s">
        <v>675</v>
      </c>
      <c r="G45" s="86" t="s">
        <v>676</v>
      </c>
      <c r="H45" s="86" t="s">
        <v>677</v>
      </c>
      <c r="I45" s="86" t="s">
        <v>678</v>
      </c>
      <c r="J45" s="88"/>
      <c r="K45" s="86" t="s">
        <v>679</v>
      </c>
      <c r="L45" s="86" t="s">
        <v>680</v>
      </c>
      <c r="M45" s="86" t="s">
        <v>680</v>
      </c>
      <c r="N45" s="86" t="s">
        <v>681</v>
      </c>
    </row>
    <row r="46" spans="1:14" x14ac:dyDescent="0.25">
      <c r="A46" s="86" t="s">
        <v>682</v>
      </c>
      <c r="B46" s="86" t="s">
        <v>683</v>
      </c>
      <c r="C46" s="86" t="s">
        <v>684</v>
      </c>
      <c r="D46" s="86" t="s">
        <v>685</v>
      </c>
      <c r="E46" s="86" t="s">
        <v>682</v>
      </c>
      <c r="F46" s="87" t="s">
        <v>685</v>
      </c>
      <c r="G46" s="90" t="s">
        <v>686</v>
      </c>
      <c r="H46" s="86" t="s">
        <v>686</v>
      </c>
      <c r="I46" s="86" t="s">
        <v>687</v>
      </c>
      <c r="J46" s="86" t="s">
        <v>688</v>
      </c>
      <c r="K46" s="86" t="s">
        <v>687</v>
      </c>
      <c r="L46" s="86" t="s">
        <v>689</v>
      </c>
      <c r="M46" s="86" t="s">
        <v>689</v>
      </c>
      <c r="N46" s="86" t="s">
        <v>682</v>
      </c>
    </row>
    <row r="47" spans="1:14" x14ac:dyDescent="0.25">
      <c r="A47" s="86" t="s">
        <v>595</v>
      </c>
      <c r="B47" s="86" t="s">
        <v>690</v>
      </c>
      <c r="C47" s="86" t="s">
        <v>691</v>
      </c>
      <c r="D47" s="88" t="s">
        <v>595</v>
      </c>
      <c r="E47" s="86" t="s">
        <v>692</v>
      </c>
      <c r="F47" s="87" t="s">
        <v>693</v>
      </c>
      <c r="G47" s="86" t="s">
        <v>694</v>
      </c>
      <c r="H47" s="86" t="s">
        <v>695</v>
      </c>
      <c r="I47" s="86" t="s">
        <v>696</v>
      </c>
      <c r="J47" s="88"/>
      <c r="K47" s="86" t="s">
        <v>697</v>
      </c>
      <c r="L47" s="86" t="s">
        <v>698</v>
      </c>
      <c r="M47" s="86" t="s">
        <v>699</v>
      </c>
      <c r="N47" s="86" t="s">
        <v>700</v>
      </c>
    </row>
    <row r="48" spans="1:14" x14ac:dyDescent="0.25">
      <c r="A48" s="86" t="s">
        <v>701</v>
      </c>
      <c r="B48" s="86" t="s">
        <v>701</v>
      </c>
      <c r="C48" s="86" t="s">
        <v>702</v>
      </c>
      <c r="D48" s="86" t="s">
        <v>703</v>
      </c>
      <c r="E48" s="86" t="s">
        <v>704</v>
      </c>
      <c r="F48" s="87" t="s">
        <v>705</v>
      </c>
      <c r="G48" s="86" t="s">
        <v>706</v>
      </c>
      <c r="H48" s="86" t="s">
        <v>707</v>
      </c>
      <c r="I48" s="86" t="s">
        <v>708</v>
      </c>
      <c r="J48" s="88"/>
      <c r="K48" s="86" t="s">
        <v>709</v>
      </c>
      <c r="L48" s="86" t="s">
        <v>710</v>
      </c>
      <c r="M48" s="86" t="s">
        <v>711</v>
      </c>
      <c r="N48" s="86" t="s">
        <v>712</v>
      </c>
    </row>
    <row r="49" spans="1:14" x14ac:dyDescent="0.25">
      <c r="A49" s="86" t="s">
        <v>713</v>
      </c>
      <c r="B49" s="86" t="s">
        <v>714</v>
      </c>
      <c r="C49" s="86" t="s">
        <v>715</v>
      </c>
      <c r="D49" s="86" t="s">
        <v>716</v>
      </c>
      <c r="E49" s="86" t="s">
        <v>717</v>
      </c>
      <c r="F49" s="87" t="s">
        <v>718</v>
      </c>
      <c r="G49" s="90" t="s">
        <v>719</v>
      </c>
      <c r="H49" s="86" t="s">
        <v>717</v>
      </c>
      <c r="I49" s="86" t="s">
        <v>720</v>
      </c>
      <c r="J49" s="86" t="s">
        <v>721</v>
      </c>
      <c r="K49" s="86" t="s">
        <v>722</v>
      </c>
      <c r="L49" s="86" t="s">
        <v>723</v>
      </c>
      <c r="M49" s="86" t="s">
        <v>722</v>
      </c>
      <c r="N49" s="86" t="s">
        <v>724</v>
      </c>
    </row>
    <row r="50" spans="1:14" x14ac:dyDescent="0.25">
      <c r="A50" s="86" t="s">
        <v>725</v>
      </c>
      <c r="B50" s="86" t="s">
        <v>726</v>
      </c>
      <c r="C50" s="86" t="s">
        <v>727</v>
      </c>
      <c r="D50" s="86" t="s">
        <v>728</v>
      </c>
      <c r="E50" s="86" t="s">
        <v>729</v>
      </c>
      <c r="F50" s="87" t="s">
        <v>726</v>
      </c>
      <c r="G50" s="90" t="s">
        <v>726</v>
      </c>
      <c r="H50" s="86" t="s">
        <v>729</v>
      </c>
      <c r="I50" s="86" t="s">
        <v>730</v>
      </c>
      <c r="J50" s="86" t="s">
        <v>731</v>
      </c>
      <c r="K50" s="86" t="s">
        <v>732</v>
      </c>
      <c r="L50" s="86" t="s">
        <v>730</v>
      </c>
      <c r="M50" s="86" t="s">
        <v>732</v>
      </c>
      <c r="N50" s="86" t="s">
        <v>725</v>
      </c>
    </row>
    <row r="51" spans="1:14" x14ac:dyDescent="0.25">
      <c r="A51" s="86" t="s">
        <v>733</v>
      </c>
      <c r="B51" s="86" t="s">
        <v>734</v>
      </c>
      <c r="C51" s="86" t="s">
        <v>735</v>
      </c>
      <c r="D51" s="86" t="s">
        <v>736</v>
      </c>
      <c r="E51" s="86" t="s">
        <v>737</v>
      </c>
      <c r="F51" s="87" t="s">
        <v>738</v>
      </c>
      <c r="G51" s="86" t="s">
        <v>739</v>
      </c>
      <c r="H51" s="86" t="s">
        <v>740</v>
      </c>
      <c r="I51" s="86" t="s">
        <v>741</v>
      </c>
      <c r="J51" s="88"/>
      <c r="K51" s="86" t="s">
        <v>742</v>
      </c>
      <c r="L51" s="86" t="s">
        <v>743</v>
      </c>
      <c r="M51" s="86" t="s">
        <v>743</v>
      </c>
      <c r="N51" s="86" t="s">
        <v>744</v>
      </c>
    </row>
    <row r="52" spans="1:14" x14ac:dyDescent="0.25">
      <c r="A52" s="86" t="s">
        <v>745</v>
      </c>
      <c r="B52" s="86" t="s">
        <v>746</v>
      </c>
      <c r="C52" s="86" t="s">
        <v>747</v>
      </c>
      <c r="D52" s="86" t="s">
        <v>748</v>
      </c>
      <c r="E52" s="86" t="s">
        <v>749</v>
      </c>
      <c r="F52" s="87" t="s">
        <v>750</v>
      </c>
      <c r="G52" s="86" t="s">
        <v>751</v>
      </c>
      <c r="H52" s="86" t="s">
        <v>752</v>
      </c>
      <c r="I52" s="86" t="s">
        <v>753</v>
      </c>
      <c r="J52" s="88"/>
      <c r="K52" s="86" t="s">
        <v>754</v>
      </c>
      <c r="L52" s="86" t="s">
        <v>755</v>
      </c>
      <c r="M52" s="86" t="s">
        <v>756</v>
      </c>
      <c r="N52" s="86" t="s">
        <v>757</v>
      </c>
    </row>
    <row r="53" spans="1:14" x14ac:dyDescent="0.25">
      <c r="A53" s="86" t="s">
        <v>758</v>
      </c>
      <c r="B53" s="86" t="s">
        <v>759</v>
      </c>
      <c r="C53" s="86" t="s">
        <v>760</v>
      </c>
      <c r="D53" s="86" t="s">
        <v>761</v>
      </c>
      <c r="E53" s="86" t="s">
        <v>762</v>
      </c>
      <c r="F53" s="87" t="s">
        <v>763</v>
      </c>
      <c r="G53" s="86" t="s">
        <v>764</v>
      </c>
      <c r="H53" s="86" t="s">
        <v>765</v>
      </c>
      <c r="I53" s="86" t="s">
        <v>766</v>
      </c>
      <c r="J53" s="88"/>
      <c r="K53" s="86" t="s">
        <v>767</v>
      </c>
      <c r="L53" s="86" t="s">
        <v>768</v>
      </c>
      <c r="M53" s="86" t="s">
        <v>769</v>
      </c>
      <c r="N53" s="86" t="s">
        <v>770</v>
      </c>
    </row>
    <row r="54" spans="1:14" x14ac:dyDescent="0.25">
      <c r="A54" s="97" t="s">
        <v>771</v>
      </c>
      <c r="B54" s="86" t="s">
        <v>772</v>
      </c>
      <c r="C54" s="86" t="s">
        <v>773</v>
      </c>
      <c r="D54" s="86" t="s">
        <v>774</v>
      </c>
      <c r="E54" s="86" t="s">
        <v>775</v>
      </c>
      <c r="F54" s="87" t="s">
        <v>776</v>
      </c>
      <c r="G54" s="86" t="s">
        <v>777</v>
      </c>
      <c r="H54" s="86" t="s">
        <v>778</v>
      </c>
      <c r="I54" s="97" t="s">
        <v>779</v>
      </c>
      <c r="J54" s="88"/>
      <c r="K54" s="97" t="s">
        <v>780</v>
      </c>
      <c r="L54" s="97" t="s">
        <v>781</v>
      </c>
      <c r="M54" s="97" t="s">
        <v>781</v>
      </c>
      <c r="N54" s="86" t="s">
        <v>782</v>
      </c>
    </row>
    <row r="55" spans="1:14" x14ac:dyDescent="0.25">
      <c r="A55" s="86" t="s">
        <v>783</v>
      </c>
      <c r="B55" s="86" t="s">
        <v>784</v>
      </c>
      <c r="C55" s="86" t="s">
        <v>785</v>
      </c>
      <c r="D55" s="88" t="s">
        <v>783</v>
      </c>
      <c r="E55" s="86" t="s">
        <v>786</v>
      </c>
      <c r="F55" s="87" t="s">
        <v>787</v>
      </c>
      <c r="G55" s="86" t="s">
        <v>788</v>
      </c>
      <c r="H55" s="86" t="s">
        <v>789</v>
      </c>
      <c r="I55" s="86" t="s">
        <v>790</v>
      </c>
      <c r="J55" s="88"/>
      <c r="K55" s="86" t="s">
        <v>791</v>
      </c>
      <c r="L55" s="86" t="s">
        <v>792</v>
      </c>
      <c r="M55" s="86" t="s">
        <v>793</v>
      </c>
      <c r="N55" s="86" t="s">
        <v>794</v>
      </c>
    </row>
    <row r="56" spans="1:14" x14ac:dyDescent="0.25">
      <c r="A56" s="86" t="s">
        <v>795</v>
      </c>
      <c r="B56" s="86" t="s">
        <v>796</v>
      </c>
      <c r="C56" s="86" t="s">
        <v>797</v>
      </c>
      <c r="D56" s="86" t="s">
        <v>798</v>
      </c>
      <c r="E56" s="86" t="s">
        <v>799</v>
      </c>
      <c r="F56" s="87" t="s">
        <v>800</v>
      </c>
      <c r="G56" s="90" t="s">
        <v>801</v>
      </c>
      <c r="H56" s="86" t="s">
        <v>802</v>
      </c>
      <c r="I56" s="86" t="s">
        <v>803</v>
      </c>
      <c r="J56" s="86" t="s">
        <v>804</v>
      </c>
      <c r="K56" s="86" t="s">
        <v>805</v>
      </c>
      <c r="L56" s="86" t="s">
        <v>806</v>
      </c>
      <c r="M56" s="86" t="s">
        <v>807</v>
      </c>
      <c r="N56" s="86" t="s">
        <v>808</v>
      </c>
    </row>
    <row r="57" spans="1:14" x14ac:dyDescent="0.25">
      <c r="A57" s="86" t="s">
        <v>809</v>
      </c>
      <c r="B57" s="86" t="s">
        <v>810</v>
      </c>
      <c r="C57" s="86" t="s">
        <v>811</v>
      </c>
      <c r="D57" s="86" t="s">
        <v>812</v>
      </c>
      <c r="E57" s="86" t="s">
        <v>813</v>
      </c>
      <c r="F57" s="87" t="s">
        <v>814</v>
      </c>
      <c r="G57" s="90" t="s">
        <v>815</v>
      </c>
      <c r="H57" s="86" t="s">
        <v>816</v>
      </c>
      <c r="I57" s="86" t="s">
        <v>817</v>
      </c>
      <c r="J57" s="86" t="s">
        <v>818</v>
      </c>
      <c r="K57" s="86" t="s">
        <v>819</v>
      </c>
      <c r="L57" s="86" t="s">
        <v>820</v>
      </c>
      <c r="M57" s="86" t="s">
        <v>821</v>
      </c>
      <c r="N57" s="86" t="s">
        <v>822</v>
      </c>
    </row>
    <row r="58" spans="1:14" x14ac:dyDescent="0.25">
      <c r="A58" s="86" t="s">
        <v>823</v>
      </c>
      <c r="B58" s="86" t="s">
        <v>824</v>
      </c>
      <c r="C58" s="86" t="s">
        <v>825</v>
      </c>
      <c r="D58" s="86" t="s">
        <v>826</v>
      </c>
      <c r="E58" s="86" t="s">
        <v>823</v>
      </c>
      <c r="F58" s="87" t="s">
        <v>827</v>
      </c>
      <c r="G58" s="86" t="s">
        <v>828</v>
      </c>
      <c r="H58" s="86" t="s">
        <v>829</v>
      </c>
      <c r="I58" s="86" t="s">
        <v>830</v>
      </c>
      <c r="J58" s="88"/>
      <c r="K58" s="86" t="s">
        <v>830</v>
      </c>
      <c r="L58" s="86" t="s">
        <v>830</v>
      </c>
      <c r="M58" s="86" t="s">
        <v>830</v>
      </c>
      <c r="N58" s="86" t="s">
        <v>831</v>
      </c>
    </row>
    <row r="59" spans="1:14" x14ac:dyDescent="0.25">
      <c r="A59" s="86" t="s">
        <v>832</v>
      </c>
      <c r="B59" s="86" t="s">
        <v>833</v>
      </c>
      <c r="C59" s="86" t="s">
        <v>834</v>
      </c>
      <c r="D59" s="86" t="s">
        <v>835</v>
      </c>
      <c r="E59" s="86" t="s">
        <v>836</v>
      </c>
      <c r="F59" s="87" t="s">
        <v>837</v>
      </c>
      <c r="G59" s="86" t="s">
        <v>838</v>
      </c>
      <c r="H59" s="86" t="s">
        <v>839</v>
      </c>
      <c r="I59" s="86" t="s">
        <v>840</v>
      </c>
      <c r="J59" s="88"/>
      <c r="K59" s="86" t="s">
        <v>841</v>
      </c>
      <c r="L59" s="86" t="s">
        <v>842</v>
      </c>
      <c r="M59" s="86" t="s">
        <v>842</v>
      </c>
      <c r="N59" s="86" t="s">
        <v>832</v>
      </c>
    </row>
    <row r="60" spans="1:14" x14ac:dyDescent="0.25">
      <c r="A60" s="86" t="s">
        <v>191</v>
      </c>
      <c r="B60" s="86" t="s">
        <v>843</v>
      </c>
      <c r="C60" s="86" t="s">
        <v>844</v>
      </c>
      <c r="D60" s="86" t="s">
        <v>845</v>
      </c>
      <c r="E60" s="86" t="s">
        <v>846</v>
      </c>
      <c r="F60" s="87" t="s">
        <v>847</v>
      </c>
      <c r="G60" s="90" t="s">
        <v>848</v>
      </c>
      <c r="H60" s="86" t="s">
        <v>849</v>
      </c>
      <c r="I60" s="86" t="s">
        <v>850</v>
      </c>
      <c r="J60" s="86" t="s">
        <v>851</v>
      </c>
      <c r="K60" s="86" t="s">
        <v>852</v>
      </c>
      <c r="L60" s="86" t="s">
        <v>853</v>
      </c>
      <c r="M60" s="86" t="s">
        <v>854</v>
      </c>
      <c r="N60" s="86" t="s">
        <v>855</v>
      </c>
    </row>
    <row r="61" spans="1:14" x14ac:dyDescent="0.25">
      <c r="A61" s="86" t="s">
        <v>856</v>
      </c>
      <c r="B61" s="86" t="s">
        <v>857</v>
      </c>
      <c r="C61" s="86" t="s">
        <v>858</v>
      </c>
      <c r="D61" s="86" t="s">
        <v>859</v>
      </c>
      <c r="E61" s="86" t="s">
        <v>860</v>
      </c>
      <c r="F61" s="87" t="s">
        <v>861</v>
      </c>
      <c r="G61" s="86" t="s">
        <v>862</v>
      </c>
      <c r="H61" s="86" t="s">
        <v>863</v>
      </c>
      <c r="I61" s="86" t="s">
        <v>864</v>
      </c>
      <c r="J61" s="88"/>
      <c r="K61" s="86" t="s">
        <v>865</v>
      </c>
      <c r="L61" s="86" t="s">
        <v>864</v>
      </c>
      <c r="M61" s="86" t="s">
        <v>864</v>
      </c>
      <c r="N61" s="86" t="s">
        <v>866</v>
      </c>
    </row>
    <row r="62" spans="1:14" x14ac:dyDescent="0.25">
      <c r="A62" s="86" t="s">
        <v>867</v>
      </c>
      <c r="B62" s="86" t="s">
        <v>868</v>
      </c>
      <c r="C62" s="86" t="s">
        <v>869</v>
      </c>
      <c r="D62" s="86" t="s">
        <v>870</v>
      </c>
      <c r="E62" s="86" t="s">
        <v>871</v>
      </c>
      <c r="F62" s="87" t="s">
        <v>872</v>
      </c>
      <c r="G62" s="90" t="s">
        <v>873</v>
      </c>
      <c r="H62" s="86" t="s">
        <v>874</v>
      </c>
      <c r="I62" s="86" t="s">
        <v>875</v>
      </c>
      <c r="J62" s="86" t="s">
        <v>876</v>
      </c>
      <c r="K62" s="86" t="s">
        <v>877</v>
      </c>
      <c r="L62" s="86" t="s">
        <v>878</v>
      </c>
      <c r="M62" s="86" t="s">
        <v>877</v>
      </c>
      <c r="N62" s="86" t="s">
        <v>867</v>
      </c>
    </row>
    <row r="63" spans="1:14" x14ac:dyDescent="0.25">
      <c r="A63" s="86" t="s">
        <v>879</v>
      </c>
      <c r="B63" s="86" t="s">
        <v>880</v>
      </c>
      <c r="C63" s="86" t="s">
        <v>881</v>
      </c>
      <c r="D63" s="86" t="s">
        <v>882</v>
      </c>
      <c r="E63" s="86" t="s">
        <v>883</v>
      </c>
      <c r="F63" s="87" t="s">
        <v>884</v>
      </c>
      <c r="G63" s="86" t="s">
        <v>885</v>
      </c>
      <c r="H63" s="86" t="s">
        <v>886</v>
      </c>
      <c r="I63" s="86" t="s">
        <v>887</v>
      </c>
      <c r="J63" s="88"/>
      <c r="K63" s="86" t="s">
        <v>888</v>
      </c>
      <c r="L63" s="86" t="s">
        <v>889</v>
      </c>
      <c r="M63" s="86" t="s">
        <v>890</v>
      </c>
      <c r="N63" s="86" t="s">
        <v>891</v>
      </c>
    </row>
    <row r="64" spans="1:14" x14ac:dyDescent="0.25">
      <c r="A64" s="86" t="s">
        <v>892</v>
      </c>
      <c r="B64" s="86" t="s">
        <v>892</v>
      </c>
      <c r="C64" s="86" t="s">
        <v>892</v>
      </c>
      <c r="D64" s="86" t="s">
        <v>892</v>
      </c>
      <c r="E64" s="86" t="s">
        <v>892</v>
      </c>
      <c r="F64" s="87" t="s">
        <v>892</v>
      </c>
      <c r="G64" s="90" t="s">
        <v>892</v>
      </c>
      <c r="H64" s="86" t="s">
        <v>892</v>
      </c>
      <c r="I64" s="86" t="s">
        <v>893</v>
      </c>
      <c r="J64" s="86" t="s">
        <v>892</v>
      </c>
      <c r="K64" s="86" t="s">
        <v>893</v>
      </c>
      <c r="L64" s="86" t="s">
        <v>894</v>
      </c>
      <c r="M64" s="86" t="s">
        <v>893</v>
      </c>
      <c r="N64" s="86" t="s">
        <v>892</v>
      </c>
    </row>
    <row r="65" spans="1:14" x14ac:dyDescent="0.25">
      <c r="A65" s="86" t="s">
        <v>895</v>
      </c>
      <c r="B65" s="86" t="s">
        <v>896</v>
      </c>
      <c r="C65" s="86" t="s">
        <v>897</v>
      </c>
      <c r="D65" s="86" t="s">
        <v>898</v>
      </c>
      <c r="E65" s="86" t="s">
        <v>899</v>
      </c>
      <c r="F65" s="87" t="s">
        <v>900</v>
      </c>
      <c r="G65" s="86" t="s">
        <v>901</v>
      </c>
      <c r="H65" s="86" t="s">
        <v>902</v>
      </c>
      <c r="I65" s="86" t="s">
        <v>903</v>
      </c>
      <c r="J65" s="88"/>
      <c r="K65" s="86" t="s">
        <v>904</v>
      </c>
      <c r="L65" s="86" t="s">
        <v>905</v>
      </c>
      <c r="M65" s="86" t="s">
        <v>906</v>
      </c>
      <c r="N65" s="86" t="s">
        <v>907</v>
      </c>
    </row>
    <row r="66" spans="1:14" ht="17.25" x14ac:dyDescent="0.25">
      <c r="A66" s="86" t="s">
        <v>908</v>
      </c>
      <c r="B66" s="86" t="s">
        <v>909</v>
      </c>
      <c r="C66" s="86" t="s">
        <v>910</v>
      </c>
      <c r="D66" s="86" t="s">
        <v>909</v>
      </c>
      <c r="E66" s="86" t="s">
        <v>911</v>
      </c>
      <c r="F66" s="87" t="s">
        <v>912</v>
      </c>
      <c r="G66" s="90" t="s">
        <v>913</v>
      </c>
      <c r="H66" s="86" t="s">
        <v>911</v>
      </c>
      <c r="I66" s="86" t="s">
        <v>914</v>
      </c>
      <c r="J66" s="86" t="s">
        <v>915</v>
      </c>
      <c r="K66" s="86" t="s">
        <v>916</v>
      </c>
      <c r="L66" s="86" t="s">
        <v>917</v>
      </c>
      <c r="M66" s="86" t="s">
        <v>918</v>
      </c>
      <c r="N66" s="86" t="s">
        <v>909</v>
      </c>
    </row>
    <row r="67" spans="1:14" x14ac:dyDescent="0.25">
      <c r="A67" s="86" t="s">
        <v>919</v>
      </c>
      <c r="B67" s="86" t="s">
        <v>920</v>
      </c>
      <c r="C67" s="86" t="s">
        <v>921</v>
      </c>
      <c r="D67" s="86" t="s">
        <v>922</v>
      </c>
      <c r="E67" s="86" t="s">
        <v>923</v>
      </c>
      <c r="F67" s="87" t="s">
        <v>924</v>
      </c>
      <c r="G67" s="90" t="s">
        <v>925</v>
      </c>
      <c r="H67" s="86" t="s">
        <v>926</v>
      </c>
      <c r="I67" s="86" t="s">
        <v>927</v>
      </c>
      <c r="J67" s="86" t="s">
        <v>928</v>
      </c>
      <c r="K67" s="86" t="s">
        <v>929</v>
      </c>
      <c r="L67" s="86" t="s">
        <v>930</v>
      </c>
      <c r="M67" s="86" t="s">
        <v>930</v>
      </c>
      <c r="N67" s="86" t="s">
        <v>931</v>
      </c>
    </row>
    <row r="68" spans="1:14" x14ac:dyDescent="0.25">
      <c r="A68" s="86" t="s">
        <v>199</v>
      </c>
      <c r="B68" s="86" t="s">
        <v>932</v>
      </c>
      <c r="C68" s="86" t="s">
        <v>933</v>
      </c>
      <c r="D68" s="86" t="s">
        <v>934</v>
      </c>
      <c r="E68" s="86" t="s">
        <v>935</v>
      </c>
      <c r="F68" s="87" t="s">
        <v>936</v>
      </c>
      <c r="G68" s="86" t="s">
        <v>937</v>
      </c>
      <c r="H68" s="86" t="s">
        <v>938</v>
      </c>
      <c r="I68" s="86" t="s">
        <v>939</v>
      </c>
      <c r="J68" s="88"/>
      <c r="K68" s="86" t="s">
        <v>940</v>
      </c>
      <c r="L68" s="86" t="s">
        <v>941</v>
      </c>
      <c r="M68" s="86" t="s">
        <v>942</v>
      </c>
      <c r="N68" s="86" t="s">
        <v>943</v>
      </c>
    </row>
    <row r="69" spans="1:14" x14ac:dyDescent="0.25">
      <c r="A69" s="86" t="s">
        <v>203</v>
      </c>
      <c r="B69" s="86" t="s">
        <v>203</v>
      </c>
      <c r="C69" s="86" t="s">
        <v>203</v>
      </c>
      <c r="D69" s="86" t="s">
        <v>203</v>
      </c>
      <c r="E69" s="86" t="s">
        <v>203</v>
      </c>
      <c r="F69" s="87" t="s">
        <v>203</v>
      </c>
      <c r="G69" s="90" t="s">
        <v>203</v>
      </c>
      <c r="H69" s="86" t="s">
        <v>203</v>
      </c>
      <c r="I69" s="86" t="s">
        <v>944</v>
      </c>
      <c r="J69" s="86" t="s">
        <v>203</v>
      </c>
      <c r="K69" s="86" t="s">
        <v>944</v>
      </c>
      <c r="L69" s="86" t="s">
        <v>944</v>
      </c>
      <c r="M69" s="86" t="s">
        <v>944</v>
      </c>
      <c r="N69" s="86" t="s">
        <v>203</v>
      </c>
    </row>
    <row r="70" spans="1:14" x14ac:dyDescent="0.25">
      <c r="A70" s="86" t="s">
        <v>945</v>
      </c>
      <c r="B70" s="86" t="s">
        <v>946</v>
      </c>
      <c r="C70" s="86" t="s">
        <v>947</v>
      </c>
      <c r="D70" s="86" t="s">
        <v>948</v>
      </c>
      <c r="E70" s="86" t="s">
        <v>949</v>
      </c>
      <c r="F70" s="87" t="s">
        <v>950</v>
      </c>
      <c r="G70" s="90" t="s">
        <v>951</v>
      </c>
      <c r="H70" s="86" t="s">
        <v>952</v>
      </c>
      <c r="I70" s="86" t="s">
        <v>953</v>
      </c>
      <c r="J70" s="86" t="s">
        <v>954</v>
      </c>
      <c r="K70" s="86" t="s">
        <v>955</v>
      </c>
      <c r="L70" s="86" t="s">
        <v>956</v>
      </c>
      <c r="M70" s="86" t="s">
        <v>957</v>
      </c>
      <c r="N70" s="86" t="s">
        <v>958</v>
      </c>
    </row>
    <row r="71" spans="1:14" x14ac:dyDescent="0.25">
      <c r="A71" s="94" t="s">
        <v>959</v>
      </c>
      <c r="B71" s="96" t="s">
        <v>960</v>
      </c>
      <c r="C71" s="96" t="s">
        <v>961</v>
      </c>
      <c r="D71" s="94" t="s">
        <v>962</v>
      </c>
      <c r="E71" s="94" t="s">
        <v>963</v>
      </c>
      <c r="F71" s="87" t="s">
        <v>964</v>
      </c>
      <c r="G71" s="96" t="s">
        <v>965</v>
      </c>
      <c r="H71" s="86" t="s">
        <v>966</v>
      </c>
      <c r="I71" s="94" t="s">
        <v>967</v>
      </c>
      <c r="J71" s="86" t="s">
        <v>968</v>
      </c>
      <c r="K71" s="94" t="s">
        <v>969</v>
      </c>
      <c r="L71" s="94" t="s">
        <v>970</v>
      </c>
      <c r="M71" s="94" t="s">
        <v>971</v>
      </c>
      <c r="N71" s="86" t="s">
        <v>972</v>
      </c>
    </row>
    <row r="72" spans="1:14" x14ac:dyDescent="0.25">
      <c r="A72" s="86" t="s">
        <v>973</v>
      </c>
      <c r="B72" s="86" t="s">
        <v>973</v>
      </c>
      <c r="C72" s="86" t="s">
        <v>974</v>
      </c>
      <c r="D72" s="86" t="s">
        <v>975</v>
      </c>
      <c r="E72" s="86" t="s">
        <v>976</v>
      </c>
      <c r="F72" s="87" t="s">
        <v>977</v>
      </c>
      <c r="G72" s="90" t="s">
        <v>978</v>
      </c>
      <c r="H72" s="86" t="s">
        <v>979</v>
      </c>
      <c r="I72" s="86" t="s">
        <v>980</v>
      </c>
      <c r="J72" s="86" t="s">
        <v>981</v>
      </c>
      <c r="K72" s="86" t="s">
        <v>982</v>
      </c>
      <c r="L72" s="86" t="s">
        <v>983</v>
      </c>
      <c r="M72" s="86" t="s">
        <v>983</v>
      </c>
      <c r="N72" s="86" t="s">
        <v>984</v>
      </c>
    </row>
    <row r="73" spans="1:14" x14ac:dyDescent="0.25">
      <c r="A73" s="86" t="s">
        <v>985</v>
      </c>
      <c r="B73" s="86" t="s">
        <v>986</v>
      </c>
      <c r="C73" s="86" t="s">
        <v>987</v>
      </c>
      <c r="D73" s="86" t="s">
        <v>986</v>
      </c>
      <c r="E73" s="86" t="s">
        <v>988</v>
      </c>
      <c r="F73" s="87" t="s">
        <v>989</v>
      </c>
      <c r="G73" s="86" t="s">
        <v>990</v>
      </c>
      <c r="H73" s="86" t="s">
        <v>991</v>
      </c>
      <c r="I73" s="86" t="s">
        <v>992</v>
      </c>
      <c r="J73" s="88"/>
      <c r="K73" s="86" t="s">
        <v>993</v>
      </c>
      <c r="L73" s="86" t="s">
        <v>994</v>
      </c>
      <c r="M73" s="86" t="s">
        <v>995</v>
      </c>
      <c r="N73" s="86" t="s">
        <v>996</v>
      </c>
    </row>
    <row r="74" spans="1:14" x14ac:dyDescent="0.25">
      <c r="A74" s="86" t="s">
        <v>997</v>
      </c>
      <c r="B74" s="86" t="s">
        <v>998</v>
      </c>
      <c r="C74" s="86" t="s">
        <v>999</v>
      </c>
      <c r="D74" s="86" t="s">
        <v>1000</v>
      </c>
      <c r="E74" s="86" t="s">
        <v>1001</v>
      </c>
      <c r="F74" s="87" t="s">
        <v>1002</v>
      </c>
      <c r="G74" s="86" t="s">
        <v>1003</v>
      </c>
      <c r="H74" s="86" t="s">
        <v>1004</v>
      </c>
      <c r="I74" s="86" t="s">
        <v>1005</v>
      </c>
      <c r="J74" s="88"/>
      <c r="K74" s="86" t="s">
        <v>1006</v>
      </c>
      <c r="L74" s="86" t="s">
        <v>1007</v>
      </c>
      <c r="M74" s="86" t="s">
        <v>1008</v>
      </c>
      <c r="N74" s="86" t="s">
        <v>1009</v>
      </c>
    </row>
    <row r="75" spans="1:14" x14ac:dyDescent="0.25">
      <c r="A75" s="86" t="s">
        <v>1010</v>
      </c>
      <c r="B75" s="86" t="s">
        <v>1011</v>
      </c>
      <c r="C75" s="86" t="s">
        <v>1012</v>
      </c>
      <c r="D75" s="86" t="s">
        <v>1013</v>
      </c>
      <c r="E75" s="86" t="s">
        <v>1014</v>
      </c>
      <c r="F75" s="87" t="s">
        <v>1015</v>
      </c>
      <c r="G75" s="90" t="s">
        <v>1016</v>
      </c>
      <c r="H75" s="86" t="s">
        <v>1014</v>
      </c>
      <c r="I75" s="86" t="s">
        <v>1017</v>
      </c>
      <c r="J75" s="86" t="s">
        <v>1018</v>
      </c>
      <c r="K75" s="86" t="s">
        <v>1019</v>
      </c>
      <c r="L75" s="86" t="s">
        <v>1020</v>
      </c>
      <c r="M75" s="86" t="s">
        <v>1021</v>
      </c>
      <c r="N75" s="86" t="s">
        <v>1022</v>
      </c>
    </row>
    <row r="76" spans="1:14" x14ac:dyDescent="0.25">
      <c r="A76" s="86" t="s">
        <v>1023</v>
      </c>
      <c r="B76" s="86" t="s">
        <v>1024</v>
      </c>
      <c r="C76" s="86" t="s">
        <v>1025</v>
      </c>
      <c r="D76" s="86" t="s">
        <v>1026</v>
      </c>
      <c r="E76" s="86" t="s">
        <v>1027</v>
      </c>
      <c r="F76" s="87" t="s">
        <v>1028</v>
      </c>
      <c r="G76" s="90" t="s">
        <v>1029</v>
      </c>
      <c r="H76" s="86" t="s">
        <v>1030</v>
      </c>
      <c r="I76" s="86" t="s">
        <v>1031</v>
      </c>
      <c r="J76" s="86" t="s">
        <v>1032</v>
      </c>
      <c r="K76" s="86" t="s">
        <v>1033</v>
      </c>
      <c r="L76" s="86" t="s">
        <v>1034</v>
      </c>
      <c r="M76" s="86" t="s">
        <v>1033</v>
      </c>
      <c r="N76" s="86" t="s">
        <v>1035</v>
      </c>
    </row>
    <row r="77" spans="1:14" x14ac:dyDescent="0.25">
      <c r="A77" s="86" t="s">
        <v>1036</v>
      </c>
      <c r="B77" s="86" t="s">
        <v>1037</v>
      </c>
      <c r="C77" s="86" t="s">
        <v>1038</v>
      </c>
      <c r="D77" s="86" t="s">
        <v>1039</v>
      </c>
      <c r="E77" s="86" t="s">
        <v>1040</v>
      </c>
      <c r="F77" s="95" t="s">
        <v>1041</v>
      </c>
      <c r="G77" s="90" t="s">
        <v>1042</v>
      </c>
      <c r="H77" s="86" t="s">
        <v>1043</v>
      </c>
      <c r="I77" s="86" t="s">
        <v>1044</v>
      </c>
      <c r="J77" s="88"/>
      <c r="K77" s="86" t="s">
        <v>1045</v>
      </c>
      <c r="L77" s="86" t="s">
        <v>1046</v>
      </c>
      <c r="M77" s="86" t="s">
        <v>1047</v>
      </c>
      <c r="N77" s="86" t="s">
        <v>1048</v>
      </c>
    </row>
    <row r="78" spans="1:14" x14ac:dyDescent="0.25">
      <c r="A78" s="86" t="s">
        <v>1049</v>
      </c>
      <c r="B78" s="86" t="s">
        <v>1050</v>
      </c>
      <c r="C78" s="86" t="s">
        <v>1051</v>
      </c>
      <c r="D78" s="86" t="s">
        <v>1052</v>
      </c>
      <c r="E78" s="86" t="s">
        <v>1053</v>
      </c>
      <c r="F78" s="87" t="s">
        <v>1054</v>
      </c>
      <c r="G78" s="86" t="s">
        <v>1055</v>
      </c>
      <c r="H78" s="86" t="s">
        <v>1056</v>
      </c>
      <c r="I78" s="86" t="s">
        <v>1057</v>
      </c>
      <c r="J78" s="88"/>
      <c r="K78" s="86" t="s">
        <v>1058</v>
      </c>
      <c r="L78" s="86" t="s">
        <v>1058</v>
      </c>
      <c r="M78" s="86" t="s">
        <v>1058</v>
      </c>
      <c r="N78" s="86" t="s">
        <v>1059</v>
      </c>
    </row>
    <row r="79" spans="1:14" x14ac:dyDescent="0.25">
      <c r="A79" s="86" t="s">
        <v>1060</v>
      </c>
      <c r="B79" s="86" t="s">
        <v>1061</v>
      </c>
      <c r="C79" s="86" t="s">
        <v>1062</v>
      </c>
      <c r="D79" s="86" t="s">
        <v>1063</v>
      </c>
      <c r="E79" s="86" t="s">
        <v>1064</v>
      </c>
      <c r="F79" s="95" t="s">
        <v>1065</v>
      </c>
      <c r="G79" s="86" t="s">
        <v>1066</v>
      </c>
      <c r="H79" s="86" t="s">
        <v>1067</v>
      </c>
      <c r="I79" s="86" t="s">
        <v>1068</v>
      </c>
      <c r="J79" s="88"/>
      <c r="K79" s="86" t="s">
        <v>1069</v>
      </c>
      <c r="L79" s="86" t="s">
        <v>1070</v>
      </c>
      <c r="M79" s="86" t="s">
        <v>1071</v>
      </c>
      <c r="N79" s="86" t="s">
        <v>1072</v>
      </c>
    </row>
    <row r="80" spans="1:14" x14ac:dyDescent="0.25">
      <c r="A80" s="86" t="s">
        <v>1073</v>
      </c>
      <c r="B80" s="86" t="s">
        <v>1074</v>
      </c>
      <c r="C80" s="86" t="s">
        <v>1075</v>
      </c>
      <c r="D80" s="86" t="s">
        <v>1076</v>
      </c>
      <c r="E80" s="86" t="s">
        <v>1077</v>
      </c>
      <c r="F80" s="95" t="s">
        <v>1078</v>
      </c>
      <c r="G80" s="86" t="s">
        <v>1079</v>
      </c>
      <c r="H80" s="86" t="s">
        <v>1080</v>
      </c>
      <c r="I80" s="86" t="s">
        <v>1081</v>
      </c>
      <c r="J80" s="88"/>
      <c r="K80" s="86" t="s">
        <v>1082</v>
      </c>
      <c r="L80" s="86" t="s">
        <v>1083</v>
      </c>
      <c r="M80" s="86" t="s">
        <v>1084</v>
      </c>
      <c r="N80" s="86" t="s">
        <v>1085</v>
      </c>
    </row>
    <row r="81" spans="1:14" x14ac:dyDescent="0.25">
      <c r="A81" s="86" t="s">
        <v>1086</v>
      </c>
      <c r="B81" s="86" t="s">
        <v>1087</v>
      </c>
      <c r="C81" s="86" t="s">
        <v>1088</v>
      </c>
      <c r="D81" s="86" t="s">
        <v>1089</v>
      </c>
      <c r="E81" s="86" t="s">
        <v>1090</v>
      </c>
      <c r="F81" s="95" t="s">
        <v>1091</v>
      </c>
      <c r="G81" s="86" t="s">
        <v>1092</v>
      </c>
      <c r="H81" s="86" t="s">
        <v>1093</v>
      </c>
      <c r="I81" s="86" t="s">
        <v>1094</v>
      </c>
      <c r="J81" s="88"/>
      <c r="K81" s="86" t="s">
        <v>1095</v>
      </c>
      <c r="L81" s="86" t="s">
        <v>1096</v>
      </c>
      <c r="M81" s="86" t="s">
        <v>1097</v>
      </c>
      <c r="N81" s="86" t="s">
        <v>1098</v>
      </c>
    </row>
    <row r="82" spans="1:14" x14ac:dyDescent="0.25">
      <c r="A82" s="86" t="s">
        <v>1099</v>
      </c>
      <c r="B82" s="86" t="s">
        <v>1100</v>
      </c>
      <c r="C82" s="86" t="s">
        <v>1101</v>
      </c>
      <c r="D82" s="86" t="s">
        <v>1102</v>
      </c>
      <c r="E82" s="86" t="s">
        <v>1103</v>
      </c>
      <c r="F82" s="95" t="s">
        <v>1104</v>
      </c>
      <c r="G82" s="86" t="s">
        <v>1105</v>
      </c>
      <c r="H82" s="86" t="s">
        <v>1106</v>
      </c>
      <c r="I82" s="86" t="s">
        <v>1107</v>
      </c>
      <c r="J82" s="88"/>
      <c r="K82" s="86" t="s">
        <v>1108</v>
      </c>
      <c r="L82" s="86" t="s">
        <v>1109</v>
      </c>
      <c r="M82" s="86" t="s">
        <v>1110</v>
      </c>
      <c r="N82" s="86" t="s">
        <v>1111</v>
      </c>
    </row>
    <row r="83" spans="1:14" x14ac:dyDescent="0.25">
      <c r="A83" s="86" t="s">
        <v>1112</v>
      </c>
      <c r="B83" s="86" t="s">
        <v>1113</v>
      </c>
      <c r="C83" s="86" t="s">
        <v>1114</v>
      </c>
      <c r="D83" s="86" t="s">
        <v>1115</v>
      </c>
      <c r="E83" s="86" t="s">
        <v>1116</v>
      </c>
      <c r="F83" s="95" t="s">
        <v>1117</v>
      </c>
      <c r="G83" s="86" t="s">
        <v>1118</v>
      </c>
      <c r="H83" s="86" t="s">
        <v>1119</v>
      </c>
      <c r="I83" s="86" t="s">
        <v>1120</v>
      </c>
      <c r="J83" s="88"/>
      <c r="K83" s="86" t="s">
        <v>1121</v>
      </c>
      <c r="L83" s="86" t="s">
        <v>1122</v>
      </c>
      <c r="M83" s="86" t="s">
        <v>1122</v>
      </c>
      <c r="N83" s="86" t="s">
        <v>1117</v>
      </c>
    </row>
    <row r="84" spans="1:14" x14ac:dyDescent="0.25">
      <c r="A84" s="86" t="s">
        <v>1123</v>
      </c>
      <c r="B84" s="86" t="s">
        <v>1124</v>
      </c>
      <c r="C84" s="86" t="s">
        <v>1125</v>
      </c>
      <c r="D84" s="86" t="s">
        <v>1126</v>
      </c>
      <c r="E84" s="86" t="s">
        <v>1127</v>
      </c>
      <c r="F84" s="95" t="s">
        <v>1128</v>
      </c>
      <c r="G84" s="86" t="s">
        <v>1129</v>
      </c>
      <c r="H84" s="86" t="s">
        <v>1130</v>
      </c>
      <c r="I84" s="86" t="s">
        <v>1131</v>
      </c>
      <c r="J84" s="88"/>
      <c r="K84" s="86" t="s">
        <v>1132</v>
      </c>
      <c r="L84" s="86" t="s">
        <v>1133</v>
      </c>
      <c r="M84" s="86" t="s">
        <v>1133</v>
      </c>
      <c r="N84" s="86" t="s">
        <v>1128</v>
      </c>
    </row>
    <row r="85" spans="1:14" x14ac:dyDescent="0.25">
      <c r="A85" s="86" t="s">
        <v>1134</v>
      </c>
      <c r="B85" s="86" t="s">
        <v>1135</v>
      </c>
      <c r="C85" s="86" t="s">
        <v>1136</v>
      </c>
      <c r="D85" s="86" t="s">
        <v>1137</v>
      </c>
      <c r="E85" s="86" t="s">
        <v>1138</v>
      </c>
      <c r="F85" s="95" t="s">
        <v>1139</v>
      </c>
      <c r="G85" s="86" t="s">
        <v>1140</v>
      </c>
      <c r="H85" s="86" t="s">
        <v>1141</v>
      </c>
      <c r="I85" s="86" t="s">
        <v>1142</v>
      </c>
      <c r="J85" s="88"/>
      <c r="K85" s="86" t="s">
        <v>1143</v>
      </c>
      <c r="L85" s="86" t="s">
        <v>1144</v>
      </c>
      <c r="M85" s="86" t="s">
        <v>1144</v>
      </c>
      <c r="N85" s="86" t="s">
        <v>1139</v>
      </c>
    </row>
    <row r="86" spans="1:14" x14ac:dyDescent="0.25">
      <c r="A86" s="86" t="s">
        <v>1145</v>
      </c>
      <c r="B86" s="86" t="s">
        <v>1146</v>
      </c>
      <c r="C86" s="86" t="s">
        <v>1147</v>
      </c>
      <c r="D86" s="86" t="s">
        <v>1148</v>
      </c>
      <c r="E86" s="86" t="s">
        <v>1149</v>
      </c>
      <c r="F86" s="95" t="s">
        <v>1150</v>
      </c>
      <c r="G86" s="86" t="s">
        <v>1151</v>
      </c>
      <c r="H86" s="86" t="s">
        <v>1152</v>
      </c>
      <c r="I86" s="86" t="s">
        <v>1153</v>
      </c>
      <c r="J86" s="88"/>
      <c r="K86" s="86" t="s">
        <v>1154</v>
      </c>
      <c r="L86" s="86" t="s">
        <v>1155</v>
      </c>
      <c r="M86" s="86" t="s">
        <v>1155</v>
      </c>
      <c r="N86" s="86" t="s">
        <v>1150</v>
      </c>
    </row>
    <row r="87" spans="1:14" x14ac:dyDescent="0.25">
      <c r="A87" s="86" t="s">
        <v>1156</v>
      </c>
      <c r="B87" s="86" t="s">
        <v>1157</v>
      </c>
      <c r="C87" s="86" t="s">
        <v>1158</v>
      </c>
      <c r="D87" s="86" t="s">
        <v>1159</v>
      </c>
      <c r="E87" s="86" t="s">
        <v>1160</v>
      </c>
      <c r="F87" s="95" t="s">
        <v>1161</v>
      </c>
      <c r="G87" s="86" t="s">
        <v>1162</v>
      </c>
      <c r="H87" s="86" t="s">
        <v>1163</v>
      </c>
      <c r="I87" s="86" t="s">
        <v>1164</v>
      </c>
      <c r="J87" s="88"/>
      <c r="K87" s="86" t="s">
        <v>1165</v>
      </c>
      <c r="L87" s="86" t="s">
        <v>1166</v>
      </c>
      <c r="M87" s="86" t="s">
        <v>1167</v>
      </c>
      <c r="N87" s="86" t="s">
        <v>1168</v>
      </c>
    </row>
    <row r="88" spans="1:14" x14ac:dyDescent="0.25">
      <c r="A88" s="86" t="s">
        <v>1169</v>
      </c>
      <c r="B88" s="86" t="s">
        <v>1170</v>
      </c>
      <c r="C88" s="86" t="s">
        <v>1171</v>
      </c>
      <c r="D88" s="86" t="s">
        <v>1172</v>
      </c>
      <c r="E88" s="86" t="s">
        <v>1173</v>
      </c>
      <c r="F88" s="95" t="s">
        <v>1174</v>
      </c>
      <c r="G88" s="86" t="s">
        <v>1175</v>
      </c>
      <c r="H88" s="86" t="s">
        <v>1176</v>
      </c>
      <c r="I88" s="86" t="s">
        <v>1177</v>
      </c>
      <c r="J88" s="88"/>
      <c r="K88" s="86" t="s">
        <v>1178</v>
      </c>
      <c r="L88" s="86" t="s">
        <v>1179</v>
      </c>
      <c r="M88" s="86" t="s">
        <v>1180</v>
      </c>
      <c r="N88" s="86" t="s">
        <v>1181</v>
      </c>
    </row>
    <row r="89" spans="1:14" x14ac:dyDescent="0.25">
      <c r="A89" s="86" t="s">
        <v>1182</v>
      </c>
      <c r="B89" s="86" t="s">
        <v>1183</v>
      </c>
      <c r="C89" s="86" t="s">
        <v>1184</v>
      </c>
      <c r="D89" s="86" t="s">
        <v>1185</v>
      </c>
      <c r="E89" s="86" t="s">
        <v>1186</v>
      </c>
      <c r="F89" s="95" t="s">
        <v>1187</v>
      </c>
      <c r="G89" s="86" t="s">
        <v>1188</v>
      </c>
      <c r="H89" s="86" t="s">
        <v>1189</v>
      </c>
      <c r="I89" s="86" t="s">
        <v>1190</v>
      </c>
      <c r="J89" s="88"/>
      <c r="K89" s="86" t="s">
        <v>1191</v>
      </c>
      <c r="L89" s="86" t="s">
        <v>1192</v>
      </c>
      <c r="M89" s="86" t="s">
        <v>1193</v>
      </c>
      <c r="N89" s="86" t="s">
        <v>1194</v>
      </c>
    </row>
    <row r="90" spans="1:14" x14ac:dyDescent="0.25">
      <c r="A90" s="86" t="s">
        <v>1195</v>
      </c>
      <c r="B90" s="86" t="s">
        <v>1196</v>
      </c>
      <c r="C90" s="86" t="s">
        <v>1197</v>
      </c>
      <c r="D90" s="86" t="s">
        <v>1198</v>
      </c>
      <c r="E90" s="86" t="s">
        <v>1199</v>
      </c>
      <c r="F90" s="95" t="s">
        <v>1200</v>
      </c>
      <c r="G90" s="86" t="s">
        <v>1201</v>
      </c>
      <c r="H90" s="86" t="s">
        <v>1202</v>
      </c>
      <c r="I90" s="86" t="s">
        <v>1203</v>
      </c>
      <c r="J90" s="88"/>
      <c r="K90" s="86" t="s">
        <v>1204</v>
      </c>
      <c r="L90" s="86" t="s">
        <v>1205</v>
      </c>
      <c r="M90" s="86" t="s">
        <v>1206</v>
      </c>
      <c r="N90" s="86" t="s">
        <v>1207</v>
      </c>
    </row>
    <row r="91" spans="1:14" x14ac:dyDescent="0.25">
      <c r="A91" s="86" t="s">
        <v>1208</v>
      </c>
      <c r="B91" s="86" t="s">
        <v>1209</v>
      </c>
      <c r="C91" s="86" t="s">
        <v>1210</v>
      </c>
      <c r="D91" s="86" t="s">
        <v>1211</v>
      </c>
      <c r="E91" s="86" t="s">
        <v>1212</v>
      </c>
      <c r="F91" s="95" t="s">
        <v>1213</v>
      </c>
      <c r="G91" s="86" t="s">
        <v>1214</v>
      </c>
      <c r="H91" s="86" t="s">
        <v>1215</v>
      </c>
      <c r="I91" s="86" t="s">
        <v>1216</v>
      </c>
      <c r="J91" s="88"/>
      <c r="K91" s="86" t="s">
        <v>1217</v>
      </c>
      <c r="L91" s="86" t="s">
        <v>1218</v>
      </c>
      <c r="M91" s="86" t="s">
        <v>1219</v>
      </c>
      <c r="N91" s="86" t="s">
        <v>1220</v>
      </c>
    </row>
    <row r="92" spans="1:14" x14ac:dyDescent="0.25">
      <c r="A92" s="86" t="s">
        <v>1221</v>
      </c>
      <c r="B92" s="86" t="s">
        <v>1222</v>
      </c>
      <c r="C92" s="86" t="s">
        <v>1223</v>
      </c>
      <c r="D92" s="86" t="s">
        <v>1224</v>
      </c>
      <c r="E92" s="86" t="s">
        <v>1225</v>
      </c>
      <c r="F92" s="95" t="s">
        <v>1226</v>
      </c>
      <c r="G92" s="86" t="s">
        <v>1227</v>
      </c>
      <c r="H92" s="86" t="s">
        <v>1228</v>
      </c>
      <c r="I92" s="86" t="s">
        <v>1229</v>
      </c>
      <c r="J92" s="88"/>
      <c r="K92" s="86" t="s">
        <v>1230</v>
      </c>
      <c r="L92" s="86" t="s">
        <v>1231</v>
      </c>
      <c r="M92" s="86" t="s">
        <v>1232</v>
      </c>
      <c r="N92" s="86" t="s">
        <v>1233</v>
      </c>
    </row>
    <row r="93" spans="1:14" x14ac:dyDescent="0.25">
      <c r="A93" s="86" t="s">
        <v>1234</v>
      </c>
      <c r="B93" s="86" t="s">
        <v>1235</v>
      </c>
      <c r="C93" s="86" t="s">
        <v>1236</v>
      </c>
      <c r="D93" s="86" t="s">
        <v>1237</v>
      </c>
      <c r="E93" s="86" t="s">
        <v>1238</v>
      </c>
      <c r="F93" s="95" t="s">
        <v>1239</v>
      </c>
      <c r="G93" s="86" t="s">
        <v>1240</v>
      </c>
      <c r="H93" s="86" t="s">
        <v>1241</v>
      </c>
      <c r="I93" s="86" t="s">
        <v>1242</v>
      </c>
      <c r="J93" s="88"/>
      <c r="K93" s="86" t="s">
        <v>1243</v>
      </c>
      <c r="L93" s="86" t="s">
        <v>1244</v>
      </c>
      <c r="M93" s="86" t="s">
        <v>1245</v>
      </c>
      <c r="N93" s="86" t="s">
        <v>1246</v>
      </c>
    </row>
    <row r="94" spans="1:14" x14ac:dyDescent="0.25">
      <c r="A94" s="86" t="s">
        <v>1247</v>
      </c>
      <c r="B94" s="86" t="s">
        <v>1248</v>
      </c>
      <c r="C94" s="86" t="s">
        <v>1249</v>
      </c>
      <c r="D94" s="86" t="s">
        <v>1250</v>
      </c>
      <c r="E94" s="86" t="s">
        <v>1251</v>
      </c>
      <c r="F94" s="95" t="s">
        <v>1252</v>
      </c>
      <c r="G94" s="86" t="s">
        <v>1253</v>
      </c>
      <c r="H94" s="86" t="s">
        <v>1254</v>
      </c>
      <c r="I94" s="86" t="s">
        <v>1255</v>
      </c>
      <c r="J94" s="88"/>
      <c r="K94" s="86" t="s">
        <v>1256</v>
      </c>
      <c r="L94" s="86" t="s">
        <v>1257</v>
      </c>
      <c r="M94" s="86" t="s">
        <v>1258</v>
      </c>
      <c r="N94" s="86" t="s">
        <v>1259</v>
      </c>
    </row>
    <row r="95" spans="1:14" x14ac:dyDescent="0.25">
      <c r="A95" s="86" t="s">
        <v>1260</v>
      </c>
      <c r="B95" s="86" t="s">
        <v>1261</v>
      </c>
      <c r="C95" s="86" t="s">
        <v>1262</v>
      </c>
      <c r="D95" s="86" t="s">
        <v>1263</v>
      </c>
      <c r="E95" s="86" t="s">
        <v>1264</v>
      </c>
      <c r="F95" s="95" t="s">
        <v>1265</v>
      </c>
      <c r="G95" s="86" t="s">
        <v>1266</v>
      </c>
      <c r="H95" s="86" t="s">
        <v>1267</v>
      </c>
      <c r="I95" s="91" t="s">
        <v>1268</v>
      </c>
      <c r="J95" s="88"/>
      <c r="K95" s="91" t="s">
        <v>1269</v>
      </c>
      <c r="L95" s="91" t="s">
        <v>1269</v>
      </c>
      <c r="M95" s="91" t="s">
        <v>1270</v>
      </c>
      <c r="N95" s="86" t="s">
        <v>1271</v>
      </c>
    </row>
    <row r="96" spans="1:14" x14ac:dyDescent="0.25">
      <c r="A96" s="86" t="s">
        <v>1272</v>
      </c>
      <c r="B96" s="86" t="s">
        <v>1273</v>
      </c>
      <c r="C96" s="86" t="s">
        <v>1274</v>
      </c>
      <c r="D96" s="86" t="s">
        <v>1275</v>
      </c>
      <c r="E96" s="86" t="s">
        <v>1276</v>
      </c>
      <c r="F96" s="95" t="s">
        <v>1277</v>
      </c>
      <c r="G96" s="86" t="s">
        <v>1278</v>
      </c>
      <c r="H96" s="86" t="s">
        <v>1279</v>
      </c>
      <c r="I96" s="91" t="s">
        <v>1280</v>
      </c>
      <c r="J96" s="88"/>
      <c r="K96" s="91" t="s">
        <v>1281</v>
      </c>
      <c r="L96" s="91" t="s">
        <v>1282</v>
      </c>
      <c r="M96" s="91" t="s">
        <v>1283</v>
      </c>
      <c r="N96" s="86" t="s">
        <v>1284</v>
      </c>
    </row>
    <row r="97" spans="1:14" x14ac:dyDescent="0.25">
      <c r="A97" s="86" t="s">
        <v>1285</v>
      </c>
      <c r="B97" s="86" t="s">
        <v>1286</v>
      </c>
      <c r="C97" s="86" t="s">
        <v>1287</v>
      </c>
      <c r="D97" s="86" t="s">
        <v>1288</v>
      </c>
      <c r="E97" s="86" t="s">
        <v>1289</v>
      </c>
      <c r="F97" s="95" t="s">
        <v>1290</v>
      </c>
      <c r="G97" s="86" t="s">
        <v>1291</v>
      </c>
      <c r="H97" s="86" t="s">
        <v>1292</v>
      </c>
      <c r="I97" s="86" t="s">
        <v>1293</v>
      </c>
      <c r="J97" s="88"/>
      <c r="K97" s="86" t="s">
        <v>1294</v>
      </c>
      <c r="L97" s="86" t="s">
        <v>1295</v>
      </c>
      <c r="M97" s="86" t="s">
        <v>1296</v>
      </c>
      <c r="N97" s="86" t="s">
        <v>1297</v>
      </c>
    </row>
    <row r="98" spans="1:14" x14ac:dyDescent="0.25">
      <c r="A98" s="86" t="s">
        <v>1298</v>
      </c>
      <c r="B98" s="86" t="s">
        <v>1299</v>
      </c>
      <c r="C98" s="86" t="s">
        <v>1300</v>
      </c>
      <c r="D98" s="86" t="s">
        <v>1301</v>
      </c>
      <c r="E98" s="86" t="s">
        <v>1302</v>
      </c>
      <c r="F98" s="95" t="s">
        <v>1303</v>
      </c>
      <c r="G98" s="86" t="s">
        <v>1304</v>
      </c>
      <c r="H98" s="86" t="s">
        <v>1305</v>
      </c>
      <c r="I98" s="86" t="s">
        <v>1306</v>
      </c>
      <c r="J98" s="88"/>
      <c r="K98" s="86" t="s">
        <v>1307</v>
      </c>
      <c r="L98" s="86" t="s">
        <v>1308</v>
      </c>
      <c r="M98" s="86" t="s">
        <v>1309</v>
      </c>
      <c r="N98" s="86" t="s">
        <v>1310</v>
      </c>
    </row>
    <row r="99" spans="1:14" x14ac:dyDescent="0.25">
      <c r="A99" s="86" t="s">
        <v>1311</v>
      </c>
      <c r="B99" s="86" t="s">
        <v>1312</v>
      </c>
      <c r="C99" s="86" t="s">
        <v>1313</v>
      </c>
      <c r="D99" s="86" t="s">
        <v>1314</v>
      </c>
      <c r="E99" s="86" t="s">
        <v>1315</v>
      </c>
      <c r="F99" s="95" t="s">
        <v>1316</v>
      </c>
      <c r="G99" s="86" t="s">
        <v>1317</v>
      </c>
      <c r="H99" s="86" t="s">
        <v>1318</v>
      </c>
      <c r="I99" s="86" t="s">
        <v>1319</v>
      </c>
      <c r="J99" s="88"/>
      <c r="K99" s="86" t="s">
        <v>1320</v>
      </c>
      <c r="L99" s="86" t="s">
        <v>1321</v>
      </c>
      <c r="M99" s="86" t="s">
        <v>1322</v>
      </c>
      <c r="N99" s="86" t="s">
        <v>1323</v>
      </c>
    </row>
    <row r="100" spans="1:14" x14ac:dyDescent="0.25">
      <c r="A100" s="86" t="s">
        <v>1324</v>
      </c>
      <c r="B100" s="86" t="s">
        <v>1325</v>
      </c>
      <c r="C100" s="86" t="s">
        <v>1326</v>
      </c>
      <c r="D100" s="86" t="s">
        <v>1327</v>
      </c>
      <c r="E100" s="86" t="s">
        <v>1328</v>
      </c>
      <c r="F100" s="95" t="s">
        <v>1329</v>
      </c>
      <c r="G100" s="86" t="s">
        <v>1330</v>
      </c>
      <c r="H100" s="86" t="s">
        <v>1331</v>
      </c>
      <c r="I100" s="86" t="s">
        <v>1332</v>
      </c>
      <c r="J100" s="88"/>
      <c r="K100" s="86" t="s">
        <v>1333</v>
      </c>
      <c r="L100" s="86" t="s">
        <v>1334</v>
      </c>
      <c r="M100" s="86" t="s">
        <v>1334</v>
      </c>
      <c r="N100" s="86" t="s">
        <v>1335</v>
      </c>
    </row>
    <row r="101" spans="1:14" x14ac:dyDescent="0.25">
      <c r="A101" s="86" t="s">
        <v>1336</v>
      </c>
      <c r="B101" s="86" t="s">
        <v>1337</v>
      </c>
      <c r="C101" s="86" t="s">
        <v>1338</v>
      </c>
      <c r="D101" s="86" t="s">
        <v>1339</v>
      </c>
      <c r="E101" s="86" t="s">
        <v>1340</v>
      </c>
      <c r="F101" s="95" t="s">
        <v>1341</v>
      </c>
      <c r="G101" s="86" t="s">
        <v>1342</v>
      </c>
      <c r="H101" s="86" t="s">
        <v>1343</v>
      </c>
      <c r="I101" s="86" t="s">
        <v>1344</v>
      </c>
      <c r="J101" s="88"/>
      <c r="K101" s="86" t="s">
        <v>1345</v>
      </c>
      <c r="L101" s="86" t="s">
        <v>1346</v>
      </c>
      <c r="M101" s="86" t="s">
        <v>1347</v>
      </c>
      <c r="N101" s="86" t="s">
        <v>1348</v>
      </c>
    </row>
    <row r="102" spans="1:14" x14ac:dyDescent="0.25">
      <c r="A102" s="86" t="s">
        <v>1349</v>
      </c>
      <c r="B102" s="86" t="s">
        <v>1350</v>
      </c>
      <c r="C102" s="86" t="s">
        <v>1351</v>
      </c>
      <c r="D102" s="86" t="s">
        <v>1352</v>
      </c>
      <c r="E102" s="86" t="s">
        <v>1353</v>
      </c>
      <c r="F102" s="95" t="s">
        <v>1354</v>
      </c>
      <c r="G102" s="86" t="s">
        <v>1355</v>
      </c>
      <c r="H102" s="86" t="s">
        <v>1356</v>
      </c>
      <c r="I102" s="86" t="s">
        <v>1357</v>
      </c>
      <c r="J102" s="88"/>
      <c r="K102" s="86" t="s">
        <v>1358</v>
      </c>
      <c r="L102" s="86" t="s">
        <v>1359</v>
      </c>
      <c r="M102" s="86" t="s">
        <v>1360</v>
      </c>
      <c r="N102" s="86" t="s">
        <v>1361</v>
      </c>
    </row>
    <row r="103" spans="1:14" x14ac:dyDescent="0.25">
      <c r="A103" s="86" t="s">
        <v>1362</v>
      </c>
      <c r="B103" s="86" t="s">
        <v>1363</v>
      </c>
      <c r="C103" s="86" t="s">
        <v>1364</v>
      </c>
      <c r="D103" s="86" t="s">
        <v>1365</v>
      </c>
      <c r="E103" s="86" t="s">
        <v>1366</v>
      </c>
      <c r="F103" s="87" t="s">
        <v>1367</v>
      </c>
      <c r="G103" s="90" t="s">
        <v>1368</v>
      </c>
      <c r="H103" s="86" t="s">
        <v>1369</v>
      </c>
      <c r="I103" s="86" t="s">
        <v>1370</v>
      </c>
      <c r="J103" s="86" t="s">
        <v>1371</v>
      </c>
      <c r="K103" s="86" t="s">
        <v>1372</v>
      </c>
      <c r="L103" s="86" t="s">
        <v>1373</v>
      </c>
      <c r="M103" s="86" t="s">
        <v>1374</v>
      </c>
      <c r="N103" s="86" t="s">
        <v>1375</v>
      </c>
    </row>
    <row r="104" spans="1:14" x14ac:dyDescent="0.25">
      <c r="A104" s="86" t="s">
        <v>1376</v>
      </c>
      <c r="B104" s="86" t="s">
        <v>1377</v>
      </c>
      <c r="C104" s="86" t="s">
        <v>1378</v>
      </c>
      <c r="D104" s="86" t="s">
        <v>1379</v>
      </c>
      <c r="E104" s="86" t="s">
        <v>1380</v>
      </c>
      <c r="F104" s="87" t="s">
        <v>1381</v>
      </c>
      <c r="G104" s="86" t="s">
        <v>1382</v>
      </c>
      <c r="H104" s="86" t="s">
        <v>1383</v>
      </c>
      <c r="I104" s="86" t="s">
        <v>1384</v>
      </c>
      <c r="J104" s="88"/>
      <c r="K104" s="86" t="s">
        <v>1385</v>
      </c>
      <c r="L104" s="86" t="s">
        <v>1386</v>
      </c>
      <c r="M104" s="86" t="s">
        <v>1387</v>
      </c>
      <c r="N104" s="86" t="s">
        <v>1388</v>
      </c>
    </row>
    <row r="105" spans="1:14" x14ac:dyDescent="0.25">
      <c r="A105" s="86" t="s">
        <v>1389</v>
      </c>
      <c r="B105" s="86" t="s">
        <v>1390</v>
      </c>
      <c r="C105" s="86" t="s">
        <v>1391</v>
      </c>
      <c r="D105" s="86" t="s">
        <v>838</v>
      </c>
      <c r="E105" s="86" t="s">
        <v>1392</v>
      </c>
      <c r="F105" s="87" t="s">
        <v>1393</v>
      </c>
      <c r="G105" s="86" t="s">
        <v>1394</v>
      </c>
      <c r="H105" s="86" t="s">
        <v>1395</v>
      </c>
      <c r="I105" s="86" t="s">
        <v>1396</v>
      </c>
      <c r="J105" s="88"/>
      <c r="K105" s="86" t="s">
        <v>1397</v>
      </c>
      <c r="L105" s="86" t="s">
        <v>1398</v>
      </c>
      <c r="M105" s="86" t="s">
        <v>1398</v>
      </c>
      <c r="N105" s="86" t="s">
        <v>1399</v>
      </c>
    </row>
    <row r="106" spans="1:14" x14ac:dyDescent="0.25">
      <c r="A106" s="94" t="s">
        <v>1400</v>
      </c>
      <c r="B106" s="96" t="s">
        <v>1400</v>
      </c>
      <c r="C106" s="96" t="s">
        <v>1401</v>
      </c>
      <c r="D106" s="94" t="s">
        <v>1402</v>
      </c>
      <c r="E106" s="86" t="s">
        <v>1403</v>
      </c>
      <c r="F106" s="87" t="s">
        <v>1404</v>
      </c>
      <c r="G106" s="96" t="s">
        <v>1405</v>
      </c>
      <c r="H106" s="86" t="s">
        <v>1403</v>
      </c>
      <c r="I106" s="94" t="s">
        <v>1406</v>
      </c>
      <c r="J106" s="86" t="s">
        <v>1407</v>
      </c>
      <c r="K106" s="94" t="s">
        <v>1406</v>
      </c>
      <c r="L106" s="94" t="s">
        <v>1406</v>
      </c>
      <c r="M106" s="94" t="s">
        <v>1406</v>
      </c>
      <c r="N106" s="86" t="s">
        <v>1403</v>
      </c>
    </row>
    <row r="107" spans="1:14" x14ac:dyDescent="0.25">
      <c r="A107" s="86" t="s">
        <v>1408</v>
      </c>
      <c r="B107" s="86" t="s">
        <v>1408</v>
      </c>
      <c r="C107" s="86" t="s">
        <v>1408</v>
      </c>
      <c r="D107" s="86" t="s">
        <v>1409</v>
      </c>
      <c r="E107" s="86" t="s">
        <v>1410</v>
      </c>
      <c r="F107" s="87" t="s">
        <v>1408</v>
      </c>
      <c r="G107" s="86" t="s">
        <v>1408</v>
      </c>
      <c r="H107" s="86" t="s">
        <v>1410</v>
      </c>
      <c r="I107" s="86" t="s">
        <v>1411</v>
      </c>
      <c r="J107" s="88"/>
      <c r="K107" s="86" t="s">
        <v>1412</v>
      </c>
      <c r="L107" s="86" t="s">
        <v>1411</v>
      </c>
      <c r="M107" s="86" t="s">
        <v>1413</v>
      </c>
      <c r="N107" s="86" t="s">
        <v>1414</v>
      </c>
    </row>
    <row r="108" spans="1:14" x14ac:dyDescent="0.25">
      <c r="A108" s="86" t="s">
        <v>1415</v>
      </c>
      <c r="B108" s="86" t="s">
        <v>1416</v>
      </c>
      <c r="C108" s="86" t="s">
        <v>1417</v>
      </c>
      <c r="D108" s="86" t="s">
        <v>1418</v>
      </c>
      <c r="E108" s="86" t="s">
        <v>1419</v>
      </c>
      <c r="F108" s="87" t="s">
        <v>1420</v>
      </c>
      <c r="G108" s="86" t="s">
        <v>1421</v>
      </c>
      <c r="H108" s="86" t="s">
        <v>1422</v>
      </c>
      <c r="I108" s="86" t="s">
        <v>1423</v>
      </c>
      <c r="J108" s="88"/>
      <c r="K108" s="86" t="s">
        <v>1424</v>
      </c>
      <c r="L108" s="86" t="s">
        <v>1425</v>
      </c>
      <c r="M108" s="86" t="s">
        <v>1426</v>
      </c>
      <c r="N108" s="86" t="s">
        <v>1427</v>
      </c>
    </row>
    <row r="109" spans="1:14" x14ac:dyDescent="0.25">
      <c r="A109" s="86" t="s">
        <v>201</v>
      </c>
      <c r="B109" s="86" t="s">
        <v>201</v>
      </c>
      <c r="C109" s="86" t="s">
        <v>201</v>
      </c>
      <c r="D109" s="86" t="s">
        <v>1428</v>
      </c>
      <c r="E109" s="86" t="s">
        <v>1429</v>
      </c>
      <c r="F109" s="87" t="s">
        <v>201</v>
      </c>
      <c r="G109" s="86" t="s">
        <v>201</v>
      </c>
      <c r="H109" s="86" t="s">
        <v>1429</v>
      </c>
      <c r="I109" s="86" t="s">
        <v>1430</v>
      </c>
      <c r="J109" s="88"/>
      <c r="K109" s="86" t="s">
        <v>1431</v>
      </c>
      <c r="L109" s="86" t="s">
        <v>1430</v>
      </c>
      <c r="M109" s="86" t="s">
        <v>1432</v>
      </c>
      <c r="N109" s="86" t="s">
        <v>201</v>
      </c>
    </row>
    <row r="110" spans="1:14" x14ac:dyDescent="0.25">
      <c r="A110" s="86" t="s">
        <v>225</v>
      </c>
      <c r="B110" s="86" t="s">
        <v>1433</v>
      </c>
      <c r="C110" s="86" t="s">
        <v>1434</v>
      </c>
      <c r="D110" s="86" t="s">
        <v>1435</v>
      </c>
      <c r="E110" s="86" t="s">
        <v>1436</v>
      </c>
      <c r="F110" s="87" t="s">
        <v>1437</v>
      </c>
      <c r="G110" s="90" t="s">
        <v>1438</v>
      </c>
      <c r="H110" s="86" t="s">
        <v>1439</v>
      </c>
      <c r="I110" s="86" t="s">
        <v>1440</v>
      </c>
      <c r="J110" s="86" t="s">
        <v>1441</v>
      </c>
      <c r="K110" s="86" t="s">
        <v>1442</v>
      </c>
      <c r="L110" s="86" t="s">
        <v>1443</v>
      </c>
      <c r="M110" s="86" t="s">
        <v>1442</v>
      </c>
      <c r="N110" s="86" t="s">
        <v>1444</v>
      </c>
    </row>
    <row r="111" spans="1:14" x14ac:dyDescent="0.25">
      <c r="A111" s="86" t="s">
        <v>1445</v>
      </c>
      <c r="B111" s="86" t="s">
        <v>1446</v>
      </c>
      <c r="C111" s="86" t="s">
        <v>1447</v>
      </c>
      <c r="D111" s="86" t="s">
        <v>1448</v>
      </c>
      <c r="E111" s="86" t="s">
        <v>1449</v>
      </c>
      <c r="F111" s="87" t="s">
        <v>1450</v>
      </c>
      <c r="G111" s="94" t="s">
        <v>1451</v>
      </c>
      <c r="H111" s="86" t="s">
        <v>1449</v>
      </c>
      <c r="I111" s="86" t="s">
        <v>1452</v>
      </c>
      <c r="J111" s="94" t="s">
        <v>1453</v>
      </c>
      <c r="K111" s="86" t="s">
        <v>1454</v>
      </c>
      <c r="L111" s="86" t="s">
        <v>1455</v>
      </c>
      <c r="M111" s="86" t="s">
        <v>1455</v>
      </c>
      <c r="N111" s="86" t="s">
        <v>1456</v>
      </c>
    </row>
    <row r="112" spans="1:14" x14ac:dyDescent="0.25">
      <c r="A112" s="86" t="s">
        <v>1457</v>
      </c>
      <c r="B112" s="86" t="s">
        <v>1458</v>
      </c>
      <c r="C112" s="86" t="s">
        <v>1458</v>
      </c>
      <c r="D112" s="86" t="s">
        <v>1459</v>
      </c>
      <c r="E112" s="86" t="s">
        <v>1460</v>
      </c>
      <c r="F112" s="87" t="s">
        <v>1461</v>
      </c>
      <c r="G112" s="90" t="s">
        <v>1462</v>
      </c>
      <c r="H112" s="86" t="s">
        <v>1463</v>
      </c>
      <c r="I112" s="86" t="s">
        <v>1464</v>
      </c>
      <c r="J112" s="86" t="s">
        <v>1465</v>
      </c>
      <c r="K112" s="86" t="s">
        <v>1466</v>
      </c>
      <c r="L112" s="86" t="s">
        <v>1467</v>
      </c>
      <c r="M112" s="86" t="s">
        <v>1468</v>
      </c>
      <c r="N112" s="86" t="s">
        <v>1469</v>
      </c>
    </row>
    <row r="113" spans="1:14" x14ac:dyDescent="0.25">
      <c r="A113" s="86" t="s">
        <v>1470</v>
      </c>
      <c r="B113" s="86" t="s">
        <v>1471</v>
      </c>
      <c r="C113" s="86" t="s">
        <v>1472</v>
      </c>
      <c r="D113" s="86" t="s">
        <v>1473</v>
      </c>
      <c r="E113" s="86" t="s">
        <v>1474</v>
      </c>
      <c r="F113" s="87" t="s">
        <v>1475</v>
      </c>
      <c r="G113" s="90" t="s">
        <v>1476</v>
      </c>
      <c r="H113" s="86" t="s">
        <v>1475</v>
      </c>
      <c r="I113" s="86" t="s">
        <v>1477</v>
      </c>
      <c r="J113" s="86" t="s">
        <v>1478</v>
      </c>
      <c r="K113" s="86" t="s">
        <v>1479</v>
      </c>
      <c r="L113" s="86" t="s">
        <v>1480</v>
      </c>
      <c r="M113" s="86" t="s">
        <v>1481</v>
      </c>
      <c r="N113" s="86" t="s">
        <v>1475</v>
      </c>
    </row>
    <row r="114" spans="1:14" x14ac:dyDescent="0.25">
      <c r="A114" s="86" t="s">
        <v>1470</v>
      </c>
      <c r="B114" s="86" t="s">
        <v>1471</v>
      </c>
      <c r="C114" s="86" t="s">
        <v>1472</v>
      </c>
      <c r="D114" s="86" t="s">
        <v>1473</v>
      </c>
      <c r="E114" s="86" t="s">
        <v>1474</v>
      </c>
      <c r="F114" s="87" t="s">
        <v>1475</v>
      </c>
      <c r="G114" s="90" t="s">
        <v>1476</v>
      </c>
      <c r="H114" s="86" t="s">
        <v>1475</v>
      </c>
      <c r="I114" s="86" t="s">
        <v>1477</v>
      </c>
      <c r="J114" s="86" t="s">
        <v>1482</v>
      </c>
      <c r="K114" s="86" t="s">
        <v>1479</v>
      </c>
      <c r="L114" s="86" t="s">
        <v>1480</v>
      </c>
      <c r="M114" s="86" t="s">
        <v>1481</v>
      </c>
      <c r="N114" s="86" t="s">
        <v>1475</v>
      </c>
    </row>
    <row r="115" spans="1:14" x14ac:dyDescent="0.25">
      <c r="A115" s="86" t="s">
        <v>200</v>
      </c>
      <c r="B115" s="86" t="s">
        <v>200</v>
      </c>
      <c r="C115" s="86" t="s">
        <v>200</v>
      </c>
      <c r="D115" s="86" t="s">
        <v>1483</v>
      </c>
      <c r="E115" s="86" t="s">
        <v>1484</v>
      </c>
      <c r="F115" s="87" t="s">
        <v>200</v>
      </c>
      <c r="G115" s="90" t="s">
        <v>1485</v>
      </c>
      <c r="H115" s="86" t="s">
        <v>1484</v>
      </c>
      <c r="I115" s="86" t="s">
        <v>1486</v>
      </c>
      <c r="J115" s="86" t="s">
        <v>200</v>
      </c>
      <c r="K115" s="86" t="s">
        <v>1487</v>
      </c>
      <c r="L115" s="86" t="s">
        <v>1486</v>
      </c>
      <c r="M115" s="86" t="s">
        <v>1486</v>
      </c>
      <c r="N115" s="86" t="s">
        <v>200</v>
      </c>
    </row>
    <row r="116" spans="1:14" x14ac:dyDescent="0.25">
      <c r="A116" s="86" t="s">
        <v>1488</v>
      </c>
      <c r="B116" s="86" t="s">
        <v>1489</v>
      </c>
      <c r="C116" s="86" t="s">
        <v>1490</v>
      </c>
      <c r="D116" s="86" t="s">
        <v>1491</v>
      </c>
      <c r="E116" s="86" t="s">
        <v>1492</v>
      </c>
      <c r="F116" s="87" t="s">
        <v>1493</v>
      </c>
      <c r="G116" s="86" t="s">
        <v>1494</v>
      </c>
      <c r="H116" s="86" t="s">
        <v>1495</v>
      </c>
      <c r="I116" s="86" t="s">
        <v>1496</v>
      </c>
      <c r="J116" s="88"/>
      <c r="K116" s="86" t="s">
        <v>1497</v>
      </c>
      <c r="L116" s="86" t="s">
        <v>1498</v>
      </c>
      <c r="M116" s="86" t="s">
        <v>1499</v>
      </c>
      <c r="N116" s="86" t="s">
        <v>1500</v>
      </c>
    </row>
    <row r="117" spans="1:14" x14ac:dyDescent="0.25">
      <c r="A117" s="86" t="s">
        <v>1501</v>
      </c>
      <c r="B117" s="86" t="s">
        <v>1502</v>
      </c>
      <c r="C117" s="86" t="s">
        <v>1503</v>
      </c>
      <c r="D117" s="86" t="s">
        <v>1504</v>
      </c>
      <c r="E117" s="86" t="s">
        <v>1501</v>
      </c>
      <c r="F117" s="87" t="s">
        <v>1501</v>
      </c>
      <c r="G117" s="90" t="s">
        <v>1501</v>
      </c>
      <c r="H117" s="86" t="s">
        <v>1505</v>
      </c>
      <c r="I117" s="86" t="s">
        <v>1506</v>
      </c>
      <c r="J117" s="86" t="s">
        <v>1507</v>
      </c>
      <c r="K117" s="86" t="s">
        <v>1508</v>
      </c>
      <c r="L117" s="86" t="s">
        <v>1508</v>
      </c>
      <c r="M117" s="86" t="s">
        <v>1508</v>
      </c>
      <c r="N117" s="86" t="s">
        <v>1501</v>
      </c>
    </row>
    <row r="118" spans="1:14" x14ac:dyDescent="0.25">
      <c r="A118" s="86" t="s">
        <v>1509</v>
      </c>
      <c r="B118" s="86" t="s">
        <v>1509</v>
      </c>
      <c r="C118" s="86" t="s">
        <v>1509</v>
      </c>
      <c r="D118" s="86" t="s">
        <v>1510</v>
      </c>
      <c r="E118" s="86" t="s">
        <v>1511</v>
      </c>
      <c r="F118" s="87" t="s">
        <v>1512</v>
      </c>
      <c r="G118" s="90" t="s">
        <v>1513</v>
      </c>
      <c r="H118" s="86" t="s">
        <v>1514</v>
      </c>
      <c r="I118" s="86" t="s">
        <v>1515</v>
      </c>
      <c r="J118" s="86" t="s">
        <v>1516</v>
      </c>
      <c r="K118" s="86" t="s">
        <v>1517</v>
      </c>
      <c r="L118" s="86" t="s">
        <v>1518</v>
      </c>
      <c r="M118" s="86" t="s">
        <v>1517</v>
      </c>
      <c r="N118" s="86" t="s">
        <v>1519</v>
      </c>
    </row>
    <row r="119" spans="1:14" x14ac:dyDescent="0.25">
      <c r="A119" s="86" t="s">
        <v>1520</v>
      </c>
      <c r="B119" s="86" t="s">
        <v>1521</v>
      </c>
      <c r="C119" s="86" t="s">
        <v>1522</v>
      </c>
      <c r="D119" s="86" t="s">
        <v>1523</v>
      </c>
      <c r="E119" s="86" t="s">
        <v>1524</v>
      </c>
      <c r="F119" s="87" t="s">
        <v>1521</v>
      </c>
      <c r="G119" s="90" t="s">
        <v>1525</v>
      </c>
      <c r="H119" s="86" t="s">
        <v>1526</v>
      </c>
      <c r="I119" s="86" t="s">
        <v>1527</v>
      </c>
      <c r="J119" s="86" t="s">
        <v>1528</v>
      </c>
      <c r="K119" s="86" t="s">
        <v>1529</v>
      </c>
      <c r="L119" s="86" t="s">
        <v>1530</v>
      </c>
      <c r="M119" s="86" t="s">
        <v>1531</v>
      </c>
      <c r="N119" s="86" t="s">
        <v>1532</v>
      </c>
    </row>
    <row r="120" spans="1:14" x14ac:dyDescent="0.25">
      <c r="A120" s="86" t="s">
        <v>1533</v>
      </c>
      <c r="B120" s="86" t="s">
        <v>1534</v>
      </c>
      <c r="C120" s="86" t="s">
        <v>1535</v>
      </c>
      <c r="D120" s="86" t="s">
        <v>1536</v>
      </c>
      <c r="E120" s="86" t="s">
        <v>1537</v>
      </c>
      <c r="F120" s="87" t="s">
        <v>1538</v>
      </c>
      <c r="G120" s="86" t="s">
        <v>1539</v>
      </c>
      <c r="H120" s="86" t="s">
        <v>1540</v>
      </c>
      <c r="I120" s="86" t="s">
        <v>1541</v>
      </c>
      <c r="J120" s="88"/>
      <c r="K120" s="86" t="s">
        <v>1542</v>
      </c>
      <c r="L120" s="86" t="s">
        <v>1543</v>
      </c>
      <c r="M120" s="86" t="s">
        <v>1544</v>
      </c>
      <c r="N120" s="86" t="s">
        <v>1545</v>
      </c>
    </row>
    <row r="121" spans="1:14" x14ac:dyDescent="0.25">
      <c r="A121" s="86" t="s">
        <v>1546</v>
      </c>
      <c r="B121" s="86" t="s">
        <v>1547</v>
      </c>
      <c r="C121" s="86" t="s">
        <v>1548</v>
      </c>
      <c r="D121" s="86" t="s">
        <v>1549</v>
      </c>
      <c r="E121" s="86" t="s">
        <v>1550</v>
      </c>
      <c r="F121" s="86" t="s">
        <v>1551</v>
      </c>
      <c r="G121" s="86" t="s">
        <v>1552</v>
      </c>
      <c r="H121" s="86" t="s">
        <v>1553</v>
      </c>
      <c r="I121" s="86" t="s">
        <v>1554</v>
      </c>
      <c r="J121" s="86" t="s">
        <v>1555</v>
      </c>
      <c r="K121" s="86" t="s">
        <v>1556</v>
      </c>
      <c r="L121" s="86" t="s">
        <v>1557</v>
      </c>
      <c r="M121" s="86" t="s">
        <v>1558</v>
      </c>
      <c r="N121" s="86" t="s">
        <v>1559</v>
      </c>
    </row>
    <row r="122" spans="1:14" x14ac:dyDescent="0.25">
      <c r="A122" s="86" t="s">
        <v>1560</v>
      </c>
      <c r="B122" s="86" t="s">
        <v>1561</v>
      </c>
      <c r="C122" s="86" t="s">
        <v>1562</v>
      </c>
      <c r="D122" s="86" t="s">
        <v>1563</v>
      </c>
      <c r="E122" s="86" t="s">
        <v>1564</v>
      </c>
      <c r="F122" s="86" t="s">
        <v>1565</v>
      </c>
      <c r="G122" s="86" t="s">
        <v>1566</v>
      </c>
      <c r="H122" s="86" t="s">
        <v>1567</v>
      </c>
      <c r="I122" s="86" t="s">
        <v>1568</v>
      </c>
      <c r="J122" s="86" t="s">
        <v>1569</v>
      </c>
      <c r="K122" s="86" t="s">
        <v>1570</v>
      </c>
      <c r="L122" s="86" t="s">
        <v>1571</v>
      </c>
      <c r="M122" s="86" t="s">
        <v>1572</v>
      </c>
      <c r="N122" s="86" t="s">
        <v>1573</v>
      </c>
    </row>
    <row r="123" spans="1:14" x14ac:dyDescent="0.25">
      <c r="A123" s="86" t="s">
        <v>1574</v>
      </c>
      <c r="B123" s="86" t="s">
        <v>1575</v>
      </c>
      <c r="C123" s="86" t="s">
        <v>1576</v>
      </c>
      <c r="D123" s="86" t="s">
        <v>1577</v>
      </c>
      <c r="E123" s="86" t="s">
        <v>1578</v>
      </c>
      <c r="F123" s="86" t="s">
        <v>1579</v>
      </c>
      <c r="G123" s="86" t="s">
        <v>1580</v>
      </c>
      <c r="H123" s="86" t="s">
        <v>1578</v>
      </c>
      <c r="I123" s="86" t="s">
        <v>1581</v>
      </c>
      <c r="J123" s="86" t="s">
        <v>1582</v>
      </c>
      <c r="K123" s="86" t="s">
        <v>1581</v>
      </c>
      <c r="L123" s="86" t="s">
        <v>1583</v>
      </c>
      <c r="M123" s="86" t="s">
        <v>1584</v>
      </c>
      <c r="N123" s="86" t="s">
        <v>1585</v>
      </c>
    </row>
    <row r="124" spans="1:14" x14ac:dyDescent="0.25">
      <c r="A124" s="98" t="s">
        <v>1586</v>
      </c>
      <c r="B124" s="98" t="s">
        <v>1587</v>
      </c>
      <c r="C124" s="98" t="s">
        <v>1588</v>
      </c>
      <c r="D124" s="98" t="s">
        <v>1589</v>
      </c>
      <c r="E124" s="98" t="s">
        <v>1590</v>
      </c>
      <c r="F124" s="98" t="s">
        <v>1591</v>
      </c>
      <c r="G124" s="98" t="s">
        <v>1592</v>
      </c>
      <c r="H124" s="98" t="s">
        <v>1593</v>
      </c>
      <c r="I124" s="86" t="s">
        <v>1594</v>
      </c>
      <c r="J124" s="98" t="s">
        <v>1595</v>
      </c>
      <c r="K124" s="98" t="s">
        <v>1596</v>
      </c>
      <c r="L124" s="86" t="s">
        <v>1597</v>
      </c>
      <c r="M124" s="86" t="s">
        <v>1598</v>
      </c>
      <c r="N124" s="98" t="s">
        <v>1599</v>
      </c>
    </row>
    <row r="125" spans="1:14" x14ac:dyDescent="0.25">
      <c r="A125" s="98" t="s">
        <v>1600</v>
      </c>
      <c r="B125" s="98" t="s">
        <v>1601</v>
      </c>
      <c r="C125" s="98" t="s">
        <v>1602</v>
      </c>
      <c r="D125" s="98" t="s">
        <v>1603</v>
      </c>
      <c r="E125" s="98" t="s">
        <v>1604</v>
      </c>
      <c r="F125" s="98" t="s">
        <v>1605</v>
      </c>
      <c r="G125" s="98" t="s">
        <v>1606</v>
      </c>
      <c r="H125" s="98" t="s">
        <v>1607</v>
      </c>
      <c r="I125" s="98" t="s">
        <v>1608</v>
      </c>
      <c r="J125" s="98" t="s">
        <v>1609</v>
      </c>
      <c r="K125" s="98" t="s">
        <v>1610</v>
      </c>
      <c r="L125" s="98" t="s">
        <v>1611</v>
      </c>
      <c r="M125" s="98" t="s">
        <v>1612</v>
      </c>
      <c r="N125" s="98" t="s">
        <v>1609</v>
      </c>
    </row>
    <row r="126" spans="1:14" x14ac:dyDescent="0.25">
      <c r="A126" s="86" t="s">
        <v>1613</v>
      </c>
      <c r="B126" s="88" t="s">
        <v>1613</v>
      </c>
      <c r="C126" s="98" t="s">
        <v>1614</v>
      </c>
      <c r="D126" s="88" t="s">
        <v>1613</v>
      </c>
      <c r="E126" s="88" t="s">
        <v>1613</v>
      </c>
      <c r="F126" s="88" t="s">
        <v>1613</v>
      </c>
      <c r="G126" s="88" t="s">
        <v>1613</v>
      </c>
      <c r="H126" s="88" t="s">
        <v>1613</v>
      </c>
      <c r="I126" s="88" t="s">
        <v>1613</v>
      </c>
      <c r="J126" s="88" t="s">
        <v>1613</v>
      </c>
      <c r="K126" s="88" t="s">
        <v>1613</v>
      </c>
      <c r="L126" s="88" t="s">
        <v>1613</v>
      </c>
      <c r="M126" s="88" t="s">
        <v>1613</v>
      </c>
      <c r="N126" s="88" t="s">
        <v>1613</v>
      </c>
    </row>
    <row r="127" spans="1:14" x14ac:dyDescent="0.25">
      <c r="A127" s="86" t="s">
        <v>1615</v>
      </c>
      <c r="B127" s="88" t="s">
        <v>1615</v>
      </c>
      <c r="C127" s="98" t="s">
        <v>1616</v>
      </c>
      <c r="D127" s="88" t="s">
        <v>1615</v>
      </c>
      <c r="E127" s="88" t="s">
        <v>1615</v>
      </c>
      <c r="F127" s="88" t="s">
        <v>1615</v>
      </c>
      <c r="G127" s="88" t="s">
        <v>1615</v>
      </c>
      <c r="H127" s="88" t="s">
        <v>1615</v>
      </c>
      <c r="I127" s="88" t="s">
        <v>1615</v>
      </c>
      <c r="J127" s="88" t="s">
        <v>1615</v>
      </c>
      <c r="K127" s="88" t="s">
        <v>1615</v>
      </c>
      <c r="L127" s="88" t="s">
        <v>1615</v>
      </c>
      <c r="M127" s="88" t="s">
        <v>1615</v>
      </c>
      <c r="N127" s="88" t="s">
        <v>1615</v>
      </c>
    </row>
    <row r="128" spans="1:14" s="102" customFormat="1" x14ac:dyDescent="0.25">
      <c r="A128" s="98" t="s">
        <v>1617</v>
      </c>
      <c r="B128" s="98" t="s">
        <v>1618</v>
      </c>
      <c r="C128" s="98" t="s">
        <v>1619</v>
      </c>
      <c r="D128" s="98" t="s">
        <v>1620</v>
      </c>
      <c r="E128" s="98" t="s">
        <v>1621</v>
      </c>
      <c r="F128" s="98" t="s">
        <v>1622</v>
      </c>
      <c r="G128" s="99" t="s">
        <v>1623</v>
      </c>
      <c r="H128" s="99" t="s">
        <v>1624</v>
      </c>
      <c r="I128" s="100" t="s">
        <v>1625</v>
      </c>
      <c r="J128" s="98" t="s">
        <v>1626</v>
      </c>
      <c r="K128" s="99" t="s">
        <v>1627</v>
      </c>
      <c r="L128" s="100" t="s">
        <v>1628</v>
      </c>
      <c r="M128" s="100" t="s">
        <v>1629</v>
      </c>
      <c r="N128" s="101" t="s">
        <v>1630</v>
      </c>
    </row>
    <row r="129" spans="1:15" x14ac:dyDescent="0.25">
      <c r="A129" s="86" t="s">
        <v>1631</v>
      </c>
      <c r="B129" s="86" t="s">
        <v>1632</v>
      </c>
      <c r="C129" s="86" t="s">
        <v>1633</v>
      </c>
      <c r="D129" s="86" t="s">
        <v>1634</v>
      </c>
      <c r="E129" s="86" t="s">
        <v>1635</v>
      </c>
      <c r="F129" s="86" t="s">
        <v>1636</v>
      </c>
      <c r="G129" s="86" t="s">
        <v>1637</v>
      </c>
      <c r="H129" s="86" t="s">
        <v>1638</v>
      </c>
      <c r="I129" s="86" t="s">
        <v>1639</v>
      </c>
      <c r="J129" s="86" t="s">
        <v>1640</v>
      </c>
      <c r="K129" s="86" t="s">
        <v>1641</v>
      </c>
      <c r="L129" s="86" t="s">
        <v>1642</v>
      </c>
      <c r="M129" s="86" t="s">
        <v>1643</v>
      </c>
      <c r="N129" s="86" t="s">
        <v>1644</v>
      </c>
    </row>
    <row r="130" spans="1:15" x14ac:dyDescent="0.25">
      <c r="A130" s="103" t="s">
        <v>1645</v>
      </c>
      <c r="B130" s="103" t="s">
        <v>690</v>
      </c>
      <c r="C130" s="103" t="s">
        <v>1645</v>
      </c>
      <c r="D130" s="103"/>
      <c r="E130" s="103" t="s">
        <v>692</v>
      </c>
      <c r="F130" s="103" t="s">
        <v>693</v>
      </c>
      <c r="G130" s="103" t="s">
        <v>694</v>
      </c>
      <c r="H130" s="103" t="s">
        <v>695</v>
      </c>
      <c r="I130" s="103" t="s">
        <v>1646</v>
      </c>
      <c r="J130" s="103"/>
      <c r="K130" s="103" t="s">
        <v>1647</v>
      </c>
      <c r="L130" s="103" t="s">
        <v>1648</v>
      </c>
      <c r="M130" s="103" t="s">
        <v>1649</v>
      </c>
      <c r="N130" s="103" t="s">
        <v>700</v>
      </c>
      <c r="O130" s="103" t="s">
        <v>1645</v>
      </c>
    </row>
    <row r="131" spans="1:15" s="107" customFormat="1" x14ac:dyDescent="0.25">
      <c r="A131" s="88" t="s">
        <v>1650</v>
      </c>
      <c r="B131" s="88" t="s">
        <v>1651</v>
      </c>
      <c r="C131" s="104" t="s">
        <v>1652</v>
      </c>
      <c r="D131" s="88" t="s">
        <v>1653</v>
      </c>
      <c r="E131" s="88" t="s">
        <v>1654</v>
      </c>
      <c r="F131" s="105" t="s">
        <v>1655</v>
      </c>
      <c r="G131" s="88" t="s">
        <v>1656</v>
      </c>
      <c r="H131" s="88" t="s">
        <v>1657</v>
      </c>
      <c r="I131" s="106" t="s">
        <v>1658</v>
      </c>
      <c r="J131" s="107" t="s">
        <v>1650</v>
      </c>
      <c r="K131" s="106" t="s">
        <v>1659</v>
      </c>
      <c r="L131" s="106" t="s">
        <v>1660</v>
      </c>
      <c r="M131" s="106" t="s">
        <v>1661</v>
      </c>
      <c r="N131" s="88" t="s">
        <v>1662</v>
      </c>
    </row>
    <row r="132" spans="1:15" s="107" customFormat="1" x14ac:dyDescent="0.25">
      <c r="A132" s="88" t="s">
        <v>1663</v>
      </c>
      <c r="B132" s="88" t="s">
        <v>1337</v>
      </c>
      <c r="C132" s="104" t="s">
        <v>1664</v>
      </c>
      <c r="D132" s="88" t="s">
        <v>1339</v>
      </c>
      <c r="E132" s="88" t="s">
        <v>1340</v>
      </c>
      <c r="F132" s="105" t="s">
        <v>1341</v>
      </c>
      <c r="G132" s="88" t="s">
        <v>1342</v>
      </c>
      <c r="H132" s="88" t="s">
        <v>1343</v>
      </c>
      <c r="I132" s="88" t="s">
        <v>1344</v>
      </c>
      <c r="J132" s="88"/>
      <c r="K132" s="88" t="s">
        <v>1345</v>
      </c>
      <c r="L132" s="88" t="s">
        <v>1346</v>
      </c>
      <c r="M132" s="88" t="s">
        <v>1347</v>
      </c>
      <c r="N132" s="88" t="s">
        <v>1348</v>
      </c>
    </row>
    <row r="133" spans="1:15" x14ac:dyDescent="0.25">
      <c r="A133" s="86" t="s">
        <v>1665</v>
      </c>
      <c r="B133" s="86" t="s">
        <v>1666</v>
      </c>
      <c r="C133" s="86" t="s">
        <v>1667</v>
      </c>
      <c r="D133" s="86" t="s">
        <v>1668</v>
      </c>
      <c r="E133" s="86" t="s">
        <v>1669</v>
      </c>
      <c r="F133" s="95" t="s">
        <v>1670</v>
      </c>
      <c r="G133" s="86" t="s">
        <v>1671</v>
      </c>
      <c r="H133" s="86" t="s">
        <v>1672</v>
      </c>
      <c r="I133" s="91" t="s">
        <v>1673</v>
      </c>
      <c r="J133" s="88"/>
      <c r="K133" s="86" t="s">
        <v>1674</v>
      </c>
      <c r="L133" s="91" t="s">
        <v>1665</v>
      </c>
      <c r="M133" s="91" t="s">
        <v>1665</v>
      </c>
      <c r="N133" s="86" t="s">
        <v>1670</v>
      </c>
    </row>
    <row r="134" spans="1:15" x14ac:dyDescent="0.25">
      <c r="A134" s="86" t="s">
        <v>1675</v>
      </c>
      <c r="B134" s="86" t="s">
        <v>1676</v>
      </c>
      <c r="C134" s="86" t="s">
        <v>1677</v>
      </c>
      <c r="D134" s="86" t="s">
        <v>1678</v>
      </c>
      <c r="E134" s="86" t="s">
        <v>1679</v>
      </c>
      <c r="F134" s="95" t="s">
        <v>1680</v>
      </c>
      <c r="G134" s="86" t="s">
        <v>1681</v>
      </c>
      <c r="H134" s="86" t="s">
        <v>1682</v>
      </c>
      <c r="I134" s="91" t="s">
        <v>1683</v>
      </c>
      <c r="J134" s="88"/>
      <c r="K134" s="86" t="s">
        <v>1684</v>
      </c>
      <c r="L134" s="91" t="s">
        <v>1675</v>
      </c>
      <c r="M134" s="91" t="s">
        <v>1675</v>
      </c>
      <c r="N134" s="86" t="s">
        <v>1680</v>
      </c>
    </row>
    <row r="135" spans="1:15" x14ac:dyDescent="0.25">
      <c r="A135" s="86" t="s">
        <v>1685</v>
      </c>
      <c r="B135" s="86" t="s">
        <v>1686</v>
      </c>
      <c r="C135" s="86" t="s">
        <v>1687</v>
      </c>
      <c r="D135" s="86" t="s">
        <v>1688</v>
      </c>
      <c r="E135" s="86" t="s">
        <v>1689</v>
      </c>
      <c r="F135" s="95" t="s">
        <v>1690</v>
      </c>
      <c r="G135" s="86" t="s">
        <v>1691</v>
      </c>
      <c r="H135" s="86" t="s">
        <v>1692</v>
      </c>
      <c r="I135" s="91" t="s">
        <v>1693</v>
      </c>
      <c r="J135" s="88"/>
      <c r="K135" s="91" t="s">
        <v>1694</v>
      </c>
      <c r="L135" s="91" t="s">
        <v>1695</v>
      </c>
      <c r="M135" s="91" t="s">
        <v>1696</v>
      </c>
      <c r="N135" s="86" t="s">
        <v>1697</v>
      </c>
    </row>
    <row r="136" spans="1:15" x14ac:dyDescent="0.25">
      <c r="A136" s="89" t="s">
        <v>1698</v>
      </c>
      <c r="B136" s="89" t="s">
        <v>1698</v>
      </c>
      <c r="C136" s="89" t="s">
        <v>1698</v>
      </c>
      <c r="D136" s="89" t="s">
        <v>1698</v>
      </c>
      <c r="E136" s="89" t="s">
        <v>1698</v>
      </c>
      <c r="F136" s="89" t="s">
        <v>1698</v>
      </c>
      <c r="G136" s="89" t="s">
        <v>1698</v>
      </c>
      <c r="H136" s="89" t="s">
        <v>1698</v>
      </c>
      <c r="I136" s="89" t="s">
        <v>1698</v>
      </c>
      <c r="J136" s="89" t="s">
        <v>1698</v>
      </c>
      <c r="K136" s="89" t="s">
        <v>1698</v>
      </c>
      <c r="L136" s="89" t="s">
        <v>1698</v>
      </c>
      <c r="M136" s="89" t="s">
        <v>1698</v>
      </c>
      <c r="N136" s="89" t="s">
        <v>1698</v>
      </c>
    </row>
    <row r="137" spans="1:15" x14ac:dyDescent="0.25">
      <c r="A137" s="88" t="s">
        <v>1699</v>
      </c>
      <c r="B137" s="88" t="s">
        <v>1699</v>
      </c>
      <c r="C137" s="86" t="s">
        <v>1700</v>
      </c>
      <c r="D137" s="88" t="s">
        <v>1699</v>
      </c>
      <c r="E137" s="88" t="s">
        <v>1699</v>
      </c>
      <c r="F137" s="88" t="s">
        <v>1699</v>
      </c>
      <c r="G137" s="88" t="s">
        <v>1699</v>
      </c>
      <c r="H137" s="88" t="s">
        <v>1699</v>
      </c>
      <c r="I137" s="88" t="s">
        <v>1699</v>
      </c>
      <c r="J137" s="88" t="s">
        <v>1699</v>
      </c>
      <c r="K137" s="88" t="s">
        <v>1699</v>
      </c>
      <c r="L137" s="88" t="s">
        <v>1699</v>
      </c>
      <c r="M137" s="88" t="s">
        <v>1699</v>
      </c>
      <c r="N137" s="88" t="s">
        <v>1699</v>
      </c>
    </row>
    <row r="138" spans="1:15" s="107" customFormat="1" x14ac:dyDescent="0.25">
      <c r="A138" s="88" t="s">
        <v>1701</v>
      </c>
      <c r="B138" s="88" t="s">
        <v>1701</v>
      </c>
      <c r="C138" s="86" t="s">
        <v>1702</v>
      </c>
      <c r="D138" s="88" t="s">
        <v>1701</v>
      </c>
      <c r="E138" s="88" t="s">
        <v>1701</v>
      </c>
      <c r="F138" s="88" t="s">
        <v>1701</v>
      </c>
      <c r="G138" s="88" t="s">
        <v>1701</v>
      </c>
      <c r="H138" s="88" t="s">
        <v>1701</v>
      </c>
      <c r="I138" s="88" t="s">
        <v>1701</v>
      </c>
      <c r="J138" s="88" t="s">
        <v>1701</v>
      </c>
      <c r="K138" s="88" t="s">
        <v>1701</v>
      </c>
      <c r="L138" s="88" t="s">
        <v>1701</v>
      </c>
      <c r="M138" s="88" t="s">
        <v>1701</v>
      </c>
      <c r="N138" s="88" t="s">
        <v>1701</v>
      </c>
    </row>
  </sheetData>
  <conditionalFormatting sqref="A130:O130">
    <cfRule type="expression" dxfId="2" priority="3">
      <formula>ISBLANK(A130)</formula>
    </cfRule>
  </conditionalFormatting>
  <conditionalFormatting sqref="C131">
    <cfRule type="expression" dxfId="1" priority="2">
      <formula>ISBLANK(C131)</formula>
    </cfRule>
  </conditionalFormatting>
  <conditionalFormatting sqref="C132">
    <cfRule type="expression" dxfId="0" priority="1">
      <formula>ISBLANK(C132)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C1B21C32056F44AA7DA1E9C2296358" ma:contentTypeVersion="13" ma:contentTypeDescription="Ein neues Dokument erstellen." ma:contentTypeScope="" ma:versionID="54ce7db451c838ce45d80ae7bb5b90df">
  <xsd:schema xmlns:xsd="http://www.w3.org/2001/XMLSchema" xmlns:xs="http://www.w3.org/2001/XMLSchema" xmlns:p="http://schemas.microsoft.com/office/2006/metadata/properties" xmlns:ns2="665609e8-82a7-42bb-a241-1352fea502ca" xmlns:ns3="43e6e013-0698-44a1-9d48-8ff31a1df0c3" xmlns:ns4="bf01325f-6d04-4905-92c1-287a220edac3" targetNamespace="http://schemas.microsoft.com/office/2006/metadata/properties" ma:root="true" ma:fieldsID="0b15a4ebd1e9c90ce61f10615e918e79" ns2:_="" ns3:_="" ns4:_="">
    <xsd:import namespace="665609e8-82a7-42bb-a241-1352fea502ca"/>
    <xsd:import namespace="43e6e013-0698-44a1-9d48-8ff31a1df0c3"/>
    <xsd:import namespace="bf01325f-6d04-4905-92c1-287a220eda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5609e8-82a7-42bb-a241-1352fea502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ac38430b-4b0d-4c0d-b3d9-a6776c55b4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6e013-0698-44a1-9d48-8ff31a1df0c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1325f-6d04-4905-92c1-287a220edac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78028e3-4bdd-4533-b7fd-340baf10d21c}" ma:internalName="TaxCatchAll" ma:showField="CatchAllData" ma:web="bf01325f-6d04-4905-92c1-287a220eda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01325f-6d04-4905-92c1-287a220edac3" xsi:nil="true"/>
    <SharedWithUsers xmlns="43e6e013-0698-44a1-9d48-8ff31a1df0c3">
      <UserInfo>
        <DisplayName/>
        <AccountId xsi:nil="true"/>
        <AccountType/>
      </UserInfo>
    </SharedWithUsers>
    <lcf76f155ced4ddcb4097134ff3c332f xmlns="665609e8-82a7-42bb-a241-1352fea502ca">
      <Terms xmlns="http://schemas.microsoft.com/office/infopath/2007/PartnerControls"/>
    </lcf76f155ced4ddcb4097134ff3c332f>
    <MediaLengthInSeconds xmlns="665609e8-82a7-42bb-a241-1352fea502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1D0543-A756-49B9-AAFF-E1446C6749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5609e8-82a7-42bb-a241-1352fea502ca"/>
    <ds:schemaRef ds:uri="43e6e013-0698-44a1-9d48-8ff31a1df0c3"/>
    <ds:schemaRef ds:uri="bf01325f-6d04-4905-92c1-287a220eda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BA39A4-E9C3-4EA1-9A7D-EC252F7C1443}">
  <ds:schemaRefs>
    <ds:schemaRef ds:uri="http://schemas.openxmlformats.org/package/2006/metadata/core-properties"/>
    <ds:schemaRef ds:uri="bf01325f-6d04-4905-92c1-287a220edac3"/>
    <ds:schemaRef ds:uri="http://schemas.microsoft.com/office/2006/documentManagement/types"/>
    <ds:schemaRef ds:uri="665609e8-82a7-42bb-a241-1352fea502ca"/>
    <ds:schemaRef ds:uri="43e6e013-0698-44a1-9d48-8ff31a1df0c3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4513BF2-2ED8-45FA-BC5B-2E2C899BF0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Siding138+200+300+400</vt:lpstr>
      <vt:lpstr>Siding500+600</vt:lpstr>
      <vt:lpstr>Verschnitt</vt:lpstr>
      <vt:lpstr>Sprachindex</vt:lpstr>
      <vt:lpstr>'Siding138+200+300+400'!Druckbereich</vt:lpstr>
      <vt:lpstr>'Siding500+600'!Druckbereich</vt:lpstr>
    </vt:vector>
  </TitlesOfParts>
  <Company>CAG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Muellner Andreas</dc:creator>
  <cp:lastModifiedBy>Ruede Thomas</cp:lastModifiedBy>
  <dcterms:created xsi:type="dcterms:W3CDTF">2022-05-04T09:21:41Z</dcterms:created>
  <dcterms:modified xsi:type="dcterms:W3CDTF">2022-05-30T06:49:53Z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0x0101003EC1B21C32056F44AA7DA1E9C2296358</vt:lpwstr>
  </property>
  <property fmtid="{D5CDD505-2E9C-101B-9397-08002B2CF9AE}" pid="3" name="Order">
    <vt:r8>1272700</vt:r8>
  </property>
  <property fmtid="{D5CDD505-2E9C-101B-9397-08002B2CF9AE}" pid="4" name="MediaServiceImageTags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